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52" documentId="13_ncr:1_{2F6B49A5-5332-4B2A-88A5-9E433BCE6C7F}" xr6:coauthVersionLast="47" xr6:coauthVersionMax="47" xr10:uidLastSave="{BC9953DB-3EDE-4645-9B25-79CD89A6A289}"/>
  <bookViews>
    <workbookView xWindow="28680" yWindow="-120" windowWidth="29040" windowHeight="15840" firstSheet="1" activeTab="3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  <sheet name="F_Outputs" sheetId="32" r:id="rId10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0" l="1"/>
  <c r="F7" i="32"/>
  <c r="F6" i="32"/>
  <c r="G108" i="14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P11" i="14" l="1"/>
  <c r="P15" i="14" s="1"/>
  <c r="P18" i="14" s="1"/>
  <c r="L18" i="14"/>
  <c r="K11" i="14"/>
  <c r="O11" i="14"/>
  <c r="L104" i="14"/>
  <c r="Q11" i="14"/>
  <c r="M11" i="14"/>
  <c r="J11" i="14"/>
  <c r="N11" i="14"/>
  <c r="R11" i="14"/>
  <c r="P104" i="14" l="1"/>
  <c r="H11" i="14"/>
  <c r="H104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5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J5" i="24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5" i="19"/>
  <c r="E4" i="13"/>
  <c r="K8" i="15"/>
  <c r="K5" i="19" s="1"/>
  <c r="J5" i="26"/>
  <c r="J5" i="19"/>
  <c r="E5" i="13"/>
  <c r="E5" i="24"/>
  <c r="K5" i="26"/>
  <c r="E5" i="14"/>
  <c r="E3" i="13"/>
  <c r="K5" i="14" l="1"/>
  <c r="E2" i="24"/>
  <c r="K5" i="15"/>
  <c r="E2" i="19"/>
  <c r="E2" i="14"/>
  <c r="K5" i="24"/>
  <c r="J20" i="14"/>
  <c r="K23" i="26"/>
  <c r="K21" i="14" s="1"/>
  <c r="I3" i="19"/>
  <c r="J5" i="14"/>
  <c r="K11" i="15"/>
  <c r="K12" i="15" s="1"/>
  <c r="K28" i="15" s="1"/>
  <c r="J11" i="15"/>
  <c r="J12" i="15" s="1"/>
  <c r="J19" i="15" s="1"/>
  <c r="J20" i="15" s="1"/>
  <c r="J21" i="15" s="1"/>
  <c r="J2" i="26" s="1"/>
  <c r="E4" i="24"/>
  <c r="J5" i="15"/>
  <c r="E4" i="19"/>
  <c r="I4" i="24"/>
  <c r="I2" i="24"/>
  <c r="J58" i="15"/>
  <c r="J54" i="15"/>
  <c r="J39" i="14"/>
  <c r="J41" i="14" s="1"/>
  <c r="J45" i="14" s="1"/>
  <c r="J64" i="14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M22" i="26"/>
  <c r="N23" i="26" s="1"/>
  <c r="N21" i="14" s="1"/>
  <c r="M23" i="26"/>
  <c r="G88" i="14"/>
  <c r="E73" i="14"/>
  <c r="I73" i="14"/>
  <c r="F88" i="14"/>
  <c r="J23" i="26"/>
  <c r="J21" i="14" s="1"/>
  <c r="L23" i="26"/>
  <c r="L21" i="14" s="1"/>
  <c r="K19" i="15" l="1"/>
  <c r="J4" i="19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J36" i="15"/>
  <c r="J57" i="15" s="1"/>
  <c r="K25" i="26"/>
  <c r="J25" i="26"/>
  <c r="K26" i="26" s="1"/>
  <c r="L25" i="26"/>
  <c r="N25" i="26"/>
  <c r="M26" i="26" l="1"/>
  <c r="F125" i="14"/>
  <c r="K27" i="15"/>
  <c r="K29" i="15" s="1"/>
  <c r="K4" i="24" s="1"/>
  <c r="L19" i="15"/>
  <c r="L20" i="15" s="1"/>
  <c r="L21" i="15" s="1"/>
  <c r="L2" i="14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3"/>
  <c r="L2" i="15"/>
  <c r="L2" i="26"/>
  <c r="L2" i="24"/>
  <c r="L45" i="15"/>
  <c r="K4" i="15"/>
  <c r="K4" i="13"/>
  <c r="K4" i="19"/>
  <c r="K4" i="26"/>
  <c r="K36" i="15"/>
  <c r="K35" i="15"/>
  <c r="K41" i="15" s="1"/>
  <c r="L42" i="15" s="1"/>
  <c r="J53" i="15"/>
  <c r="J59" i="15" s="1"/>
  <c r="K50" i="14"/>
  <c r="K72" i="14"/>
  <c r="K77" i="14"/>
  <c r="K43" i="14"/>
  <c r="M77" i="14"/>
  <c r="M72" i="14"/>
  <c r="M50" i="14"/>
  <c r="M43" i="14"/>
  <c r="N26" i="26"/>
  <c r="K4" i="14" l="1"/>
  <c r="L27" i="15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K54" i="15"/>
  <c r="K64" i="14"/>
  <c r="K65" i="14" s="1"/>
  <c r="K27" i="14" s="1"/>
  <c r="K39" i="14"/>
  <c r="K41" i="14" s="1"/>
  <c r="K45" i="14" s="1"/>
  <c r="L4" i="24"/>
  <c r="L48" i="15"/>
  <c r="L35" i="15"/>
  <c r="L36" i="15"/>
  <c r="L57" i="15" s="1"/>
  <c r="L46" i="15"/>
  <c r="N77" i="14"/>
  <c r="N50" i="14"/>
  <c r="N43" i="14"/>
  <c r="N72" i="14"/>
  <c r="M2" i="19" l="1"/>
  <c r="M34" i="15"/>
  <c r="M2" i="15"/>
  <c r="M2" i="24"/>
  <c r="M2" i="14"/>
  <c r="M45" i="15"/>
  <c r="M46" i="15" s="1"/>
  <c r="M2" i="26"/>
  <c r="M2" i="13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35" i="15"/>
  <c r="M41" i="15" s="1"/>
  <c r="N42" i="15" s="1"/>
  <c r="M36" i="15"/>
  <c r="L49" i="15"/>
  <c r="L79" i="14"/>
  <c r="L80" i="14" s="1"/>
  <c r="L74" i="14"/>
  <c r="L90" i="14"/>
  <c r="M4" i="19"/>
  <c r="M4" i="15"/>
  <c r="N27" i="15" l="1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O2" i="24"/>
  <c r="O2" i="26"/>
  <c r="O2" i="14"/>
  <c r="O2" i="19"/>
  <c r="O27" i="15"/>
  <c r="O29" i="15" s="1"/>
  <c r="O34" i="15"/>
  <c r="O2" i="13"/>
  <c r="L3" i="14"/>
  <c r="Q25" i="26" l="1"/>
  <c r="Q26" i="26" s="1"/>
  <c r="Q50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" i="13" s="1"/>
  <c r="P28" i="15"/>
  <c r="L3" i="13"/>
  <c r="L65" i="14"/>
  <c r="L27" i="14" s="1"/>
  <c r="R23" i="26"/>
  <c r="R21" i="14" s="1"/>
  <c r="Q43" i="14"/>
  <c r="Q72" i="14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O48" i="15"/>
  <c r="P2" i="15"/>
  <c r="P2" i="24"/>
  <c r="O4" i="19"/>
  <c r="O4" i="26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7" i="14" l="1"/>
  <c r="P2" i="26"/>
  <c r="P2" i="14"/>
  <c r="P34" i="15"/>
  <c r="P45" i="15"/>
  <c r="P46" i="15" s="1"/>
  <c r="P27" i="15"/>
  <c r="P29" i="15" s="1"/>
  <c r="P2" i="19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9" i="14"/>
  <c r="P80" i="14" s="1"/>
  <c r="P74" i="14"/>
  <c r="P90" i="14"/>
  <c r="O41" i="15"/>
  <c r="P42" i="15" s="1"/>
  <c r="O53" i="15"/>
  <c r="Q2" i="14"/>
  <c r="Q2" i="24"/>
  <c r="Q2" i="15"/>
  <c r="Q45" i="15"/>
  <c r="Q46" i="15" s="1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65" i="14" s="1"/>
  <c r="N27" i="14" s="1"/>
  <c r="R72" i="14" l="1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P83" i="14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/>
  <c r="Q36" i="15" l="1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H28" i="15"/>
  <c r="H19" i="15"/>
  <c r="O65" i="14"/>
  <c r="O27" i="14" s="1"/>
  <c r="P59" i="15"/>
  <c r="Q50" i="15"/>
  <c r="Q58" i="15" s="1"/>
  <c r="H49" i="15"/>
  <c r="H79" i="14"/>
  <c r="H74" i="14"/>
  <c r="H90" i="14"/>
  <c r="R4" i="26"/>
  <c r="R4" i="19"/>
  <c r="R4" i="14"/>
  <c r="R4" i="24"/>
  <c r="O3" i="19"/>
  <c r="O3" i="15"/>
  <c r="O3" i="13"/>
  <c r="O3" i="14"/>
  <c r="O3" i="26"/>
  <c r="O3" i="24"/>
  <c r="H48" i="15"/>
  <c r="R48" i="15"/>
  <c r="R36" i="15"/>
  <c r="R57" i="15" s="1"/>
  <c r="R35" i="15"/>
  <c r="R41" i="15" s="1"/>
  <c r="Q83" i="14"/>
  <c r="R74" i="14"/>
  <c r="R79" i="14"/>
  <c r="R80" i="14" s="1"/>
  <c r="R90" i="14"/>
  <c r="R49" i="15"/>
  <c r="P64" i="14"/>
  <c r="P54" i="15"/>
  <c r="P55" i="15" s="1"/>
  <c r="P39" i="14"/>
  <c r="Q53" i="15"/>
  <c r="Q39" i="14" l="1"/>
  <c r="Q54" i="15"/>
  <c r="Q55" i="15" s="1"/>
  <c r="R4" i="13"/>
  <c r="R50" i="15"/>
  <c r="R58" i="15" s="1"/>
  <c r="Q64" i="14"/>
  <c r="R83" i="14"/>
  <c r="Q59" i="15"/>
  <c r="F37" i="15"/>
  <c r="F64" i="15" s="1"/>
  <c r="R53" i="15"/>
  <c r="H36" i="15"/>
  <c r="H35" i="15"/>
  <c r="H41" i="15" s="1"/>
  <c r="H80" i="14"/>
  <c r="H83" i="14" s="1"/>
  <c r="F51" i="15"/>
  <c r="F65" i="15" s="1"/>
  <c r="P3" i="13"/>
  <c r="P3" i="19"/>
  <c r="P3" i="24"/>
  <c r="P3" i="14"/>
  <c r="P3" i="26"/>
  <c r="P3" i="15"/>
  <c r="Q3" i="26" l="1"/>
  <c r="Q3" i="14"/>
  <c r="Q3" i="19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F5" i="32" s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Q41" i="14"/>
  <c r="Q45" i="14" s="1"/>
  <c r="Q88" i="14"/>
  <c r="Q91" i="14" s="1"/>
  <c r="Q94" i="14" s="1"/>
  <c r="L95" i="14"/>
  <c r="L9" i="24" s="1"/>
  <c r="R75" i="14" l="1"/>
  <c r="R82" i="14" s="1"/>
  <c r="R84" i="14" s="1"/>
  <c r="R93" i="14" s="1"/>
  <c r="N41" i="14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  <c r="F4" i="32" s="1"/>
</calcChain>
</file>

<file path=xl/sharedStrings.xml><?xml version="1.0" encoding="utf-8"?>
<sst xmlns="http://schemas.openxmlformats.org/spreadsheetml/2006/main" count="307" uniqueCount="231">
  <si>
    <t>Model name:</t>
  </si>
  <si>
    <t>Bioresources revenue reconciliation model</t>
  </si>
  <si>
    <t>Version number:</t>
  </si>
  <si>
    <t>Filename:</t>
  </si>
  <si>
    <t>Date:</t>
  </si>
  <si>
    <t>July 2024</t>
  </si>
  <si>
    <t xml:space="preserve">Author: </t>
  </si>
  <si>
    <t>Ofwat</t>
  </si>
  <si>
    <t>Contact:</t>
  </si>
  <si>
    <t>PR24@ofwat.gov.uk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</si>
  <si>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</si>
  <si>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</si>
  <si>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</si>
  <si>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</si>
  <si>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</si>
  <si>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</si>
  <si>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</si>
  <si>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</si>
  <si>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</si>
  <si>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</si>
  <si>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</si>
  <si>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</si>
  <si>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</si>
  <si>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</si>
  <si>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</si>
  <si>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</si>
  <si>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</si>
  <si>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</si>
  <si>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</si>
  <si>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</si>
  <si>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</si>
  <si>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</si>
  <si>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</si>
  <si>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</si>
  <si>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</si>
  <si>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</si>
  <si>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</si>
  <si>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</si>
  <si>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</si>
  <si>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</si>
  <si>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</si>
  <si>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</si>
  <si>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</si>
  <si>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</si>
  <si>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</si>
  <si>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</si>
  <si>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</si>
  <si>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</si>
  <si>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</si>
  <si>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</si>
  <si>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</si>
  <si>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</si>
  <si>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</si>
  <si>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</si>
  <si>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</si>
  <si>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</si>
  <si>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</si>
  <si>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</si>
  <si>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</si>
  <si>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</si>
  <si>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</si>
  <si>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</si>
  <si>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</si>
  <si>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</si>
  <si>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</si>
  <si>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</si>
  <si>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</si>
  <si>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</si>
  <si>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</si>
  <si>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</si>
  <si>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</si>
  <si>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</si>
  <si>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</si>
  <si>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</si>
  <si>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</si>
  <si>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</si>
  <si>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</si>
  <si>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</si>
  <si>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</si>
  <si>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</si>
  <si>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</si>
  <si>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</si>
  <si>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</si>
  <si>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</si>
  <si>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</si>
  <si>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</si>
  <si>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</si>
  <si>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</si>
  <si>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</si>
  <si>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</si>
  <si>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</si>
  <si>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</si>
  <si>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</si>
  <si>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</si>
  <si>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</si>
  <si>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</si>
  <si>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</si>
  <si>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</si>
  <si>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</si>
  <si>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</si>
  <si>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</si>
  <si>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</si>
  <si>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</si>
  <si>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</si>
  <si>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</si>
  <si>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</si>
  <si>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</si>
  <si>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</si>
  <si>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</si>
  <si>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</si>
  <si>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</si>
  <si>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</si>
  <si>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</si>
  <si>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</si>
  <si>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</si>
  <si>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</si>
  <si>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</si>
  <si>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</si>
  <si>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</si>
  <si>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</si>
  <si>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</si>
  <si>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</si>
  <si>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</si>
  <si>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</si>
  <si>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</si>
  <si>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</si>
  <si>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</si>
  <si>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</si>
  <si>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</si>
  <si>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</si>
  <si>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</si>
  <si>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</si>
  <si>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</si>
  <si>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</si>
  <si>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</si>
  <si>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</si>
  <si>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</si>
  <si>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</si>
  <si>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</si>
  <si>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</si>
  <si>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</si>
  <si>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</si>
  <si>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</si>
  <si>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</si>
  <si>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</si>
  <si>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</si>
  <si>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</si>
  <si>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</si>
  <si>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</si>
  <si>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</si>
  <si>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</si>
  <si>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</si>
  <si>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</si>
  <si>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</si>
  <si>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</si>
  <si>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</si>
  <si>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</si>
  <si>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</si>
  <si>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</si>
  <si>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</si>
  <si>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</si>
  <si>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</si>
  <si>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</si>
  <si>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</si>
  <si>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</si>
  <si>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</si>
  <si>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</si>
  <si>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</si>
  <si>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</si>
  <si>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</si>
  <si>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</si>
  <si>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</si>
  <si>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</si>
  <si>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</si>
  <si>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</si>
  <si>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</si>
  <si>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</si>
  <si>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</si>
  <si>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</si>
  <si>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</si>
  <si>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</si>
  <si>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</si>
  <si>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</si>
  <si>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</si>
  <si>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</si>
  <si>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</si>
  <si>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</si>
  <si>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</si>
  <si>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</si>
  <si>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</si>
  <si>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</si>
  <si>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</si>
  <si>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</si>
  <si>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</si>
  <si>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</si>
  <si>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</si>
  <si>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</si>
  <si>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</si>
  <si>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</si>
  <si>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</si>
  <si>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</si>
  <si>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</si>
  <si>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</si>
  <si>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</si>
  <si>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</si>
  <si>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</si>
  <si>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</si>
  <si>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</si>
  <si>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</si>
  <si>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PR24PD07_OUT</t>
  </si>
  <si>
    <t>Acronym</t>
  </si>
  <si>
    <t>Reference</t>
  </si>
  <si>
    <t>Item description</t>
  </si>
  <si>
    <t>Model</t>
  </si>
  <si>
    <t>2024-25</t>
  </si>
  <si>
    <t>C_PR24PD07_PD12_20BIO_PR24</t>
  </si>
  <si>
    <t xml:space="preserve">PR19 Bioresources revenue adjustment in 2024-25 prior November (CPIH deflated) prices (BR) </t>
  </si>
  <si>
    <t>Price Review 2024</t>
  </si>
  <si>
    <t>C_PR24PD07_PD12_21BIO_PR24</t>
  </si>
  <si>
    <t xml:space="preserve">PR19 Bioresources forecasting accuracy incentive penalty in 2017-18 FYA (CPIH deflated) prices (BR) </t>
  </si>
  <si>
    <t>PR24QA_PR24PD07_OUT1</t>
  </si>
  <si>
    <t>Date &amp; Time for Model - PR24PD07</t>
  </si>
  <si>
    <t>Text</t>
  </si>
  <si>
    <t>PR24QA_PR24PD07_OUT2</t>
  </si>
  <si>
    <t>Name of Model - PR24PD07</t>
  </si>
  <si>
    <t>PR24QA_PR24PD07_OUT3</t>
  </si>
  <si>
    <t>F_Inputs time stamp - PR24PD07</t>
  </si>
  <si>
    <t>N/A</t>
  </si>
  <si>
    <t>PR24QA_PR24PD07_OUT4</t>
  </si>
  <si>
    <t>Model override switch for - PR24PD07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</si>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</sst>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7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u/>
      <sz val="12"/>
      <color theme="0"/>
      <name val="Franklin Gothic Demi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168" fontId="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167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right" vertical="top"/>
    </xf>
    <xf numFmtId="165" fontId="15" fillId="0" borderId="0" applyNumberFormat="0" applyProtection="0">
      <alignment vertical="top"/>
    </xf>
    <xf numFmtId="0" fontId="14" fillId="0" borderId="0"/>
    <xf numFmtId="0" fontId="8" fillId="0" borderId="0"/>
    <xf numFmtId="0" fontId="8" fillId="0" borderId="0"/>
    <xf numFmtId="168" fontId="14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69" fontId="14" fillId="0" borderId="0" applyFont="0" applyFill="0" applyBorder="0" applyProtection="0">
      <alignment vertical="top"/>
    </xf>
    <xf numFmtId="0" fontId="7" fillId="0" borderId="0"/>
    <xf numFmtId="0" fontId="7" fillId="0" borderId="0"/>
    <xf numFmtId="168" fontId="40" fillId="0" borderId="0" applyFont="0" applyFill="0" applyBorder="0" applyProtection="0">
      <alignment vertical="top"/>
    </xf>
    <xf numFmtId="171" fontId="14" fillId="0" borderId="0" applyFont="0" applyFill="0" applyBorder="0" applyProtection="0">
      <alignment vertical="top"/>
    </xf>
    <xf numFmtId="170" fontId="14" fillId="0" borderId="0" applyFon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6" applyNumberFormat="0" applyAlignment="0" applyProtection="0"/>
    <xf numFmtId="0" fontId="49" fillId="25" borderId="7" applyNumberFormat="0" applyAlignment="0" applyProtection="0"/>
    <xf numFmtId="0" fontId="50" fillId="25" borderId="6" applyNumberFormat="0" applyAlignment="0" applyProtection="0"/>
    <xf numFmtId="0" fontId="51" fillId="0" borderId="8" applyNumberFormat="0" applyFill="0" applyAlignment="0" applyProtection="0"/>
    <xf numFmtId="0" fontId="52" fillId="26" borderId="9" applyNumberFormat="0" applyAlignment="0" applyProtection="0"/>
    <xf numFmtId="0" fontId="53" fillId="0" borderId="0" applyNumberFormat="0" applyFill="0" applyBorder="0" applyAlignment="0" applyProtection="0"/>
    <xf numFmtId="0" fontId="14" fillId="27" borderId="10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5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56" fillId="51" borderId="0" applyNumberFormat="0" applyBorder="0" applyAlignment="0" applyProtection="0"/>
    <xf numFmtId="165" fontId="31" fillId="0" borderId="0" applyNumberFormat="0" applyFill="0" applyBorder="0" applyAlignment="0" applyProtection="0">
      <alignment vertical="top"/>
    </xf>
    <xf numFmtId="172" fontId="14" fillId="0" borderId="0" applyFont="0" applyFill="0" applyBorder="0" applyProtection="0">
      <alignment vertical="top"/>
    </xf>
    <xf numFmtId="165" fontId="14" fillId="0" borderId="0" applyFont="0" applyFill="0" applyBorder="0" applyProtection="0">
      <alignment vertical="top"/>
    </xf>
    <xf numFmtId="0" fontId="33" fillId="52" borderId="12" applyNumberFormat="0" applyFont="0" applyAlignment="0" applyProtection="0"/>
    <xf numFmtId="168" fontId="1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64" fillId="0" borderId="0" applyNumberFormat="0" applyFill="0" applyAlignment="0" applyProtection="0"/>
    <xf numFmtId="0" fontId="65" fillId="54" borderId="0" applyNumberFormat="0" applyBorder="0" applyAlignment="0" applyProtection="0"/>
    <xf numFmtId="0" fontId="65" fillId="53" borderId="0" applyNumberFormat="0" applyAlignment="0" applyProtection="0"/>
    <xf numFmtId="168" fontId="14" fillId="0" borderId="0" applyFont="0" applyFill="0" applyBorder="0" applyProtection="0">
      <alignment vertical="top"/>
    </xf>
    <xf numFmtId="0" fontId="2" fillId="0" borderId="0"/>
    <xf numFmtId="165" fontId="31" fillId="0" borderId="0" applyNumberFormat="0" applyFill="0" applyBorder="0" applyAlignment="0" applyProtection="0">
      <alignment vertical="top"/>
    </xf>
    <xf numFmtId="168" fontId="20" fillId="0" borderId="0" applyFont="0" applyFill="0" applyBorder="0" applyProtection="0">
      <alignment vertical="top"/>
    </xf>
    <xf numFmtId="0" fontId="1" fillId="0" borderId="0"/>
  </cellStyleXfs>
  <cellXfs count="360">
    <xf numFmtId="168" fontId="0" fillId="0" borderId="0" xfId="0">
      <alignment vertical="top"/>
    </xf>
    <xf numFmtId="168" fontId="11" fillId="2" borderId="0" xfId="0" applyFont="1" applyFill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vertical="top"/>
    </xf>
    <xf numFmtId="43" fontId="14" fillId="0" borderId="0" xfId="1" applyFont="1" applyFill="1" applyAlignment="1">
      <alignment horizontal="right" vertical="top"/>
    </xf>
    <xf numFmtId="43" fontId="14" fillId="0" borderId="0" xfId="1" applyFont="1" applyFill="1" applyAlignment="1">
      <alignment vertical="top"/>
    </xf>
    <xf numFmtId="43" fontId="14" fillId="0" borderId="0" xfId="1" applyFont="1" applyFill="1" applyBorder="1" applyAlignment="1">
      <alignment vertical="top"/>
    </xf>
    <xf numFmtId="166" fontId="12" fillId="0" borderId="0" xfId="3" applyFont="1" applyFill="1" applyBorder="1">
      <alignment vertical="top"/>
    </xf>
    <xf numFmtId="166" fontId="14" fillId="0" borderId="0" xfId="3" applyFont="1" applyFill="1" applyBorder="1">
      <alignment vertical="top"/>
    </xf>
    <xf numFmtId="166" fontId="12" fillId="0" borderId="0" xfId="3" applyFont="1" applyFill="1" applyBorder="1" applyAlignment="1">
      <alignment horizontal="right" vertical="top"/>
    </xf>
    <xf numFmtId="43" fontId="12" fillId="0" borderId="0" xfId="1" applyFont="1" applyAlignment="1">
      <alignment vertical="top"/>
    </xf>
    <xf numFmtId="43" fontId="14" fillId="0" borderId="0" xfId="1" applyFont="1" applyAlignment="1">
      <alignment horizontal="right" vertical="top"/>
    </xf>
    <xf numFmtId="43" fontId="14" fillId="0" borderId="0" xfId="1" applyFont="1" applyAlignment="1">
      <alignment vertical="top"/>
    </xf>
    <xf numFmtId="43" fontId="14" fillId="0" borderId="0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8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vertical="top"/>
    </xf>
    <xf numFmtId="168" fontId="11" fillId="0" borderId="0" xfId="0" applyFont="1" applyFill="1">
      <alignment vertical="top"/>
    </xf>
    <xf numFmtId="43" fontId="12" fillId="0" borderId="0" xfId="1" applyFont="1" applyFill="1" applyAlignment="1">
      <alignment horizontal="right" vertical="top"/>
    </xf>
    <xf numFmtId="43" fontId="14" fillId="0" borderId="0" xfId="1" applyFont="1" applyBorder="1" applyAlignment="1">
      <alignment vertical="top"/>
    </xf>
    <xf numFmtId="169" fontId="16" fillId="0" borderId="0" xfId="2" applyFont="1" applyFill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4" fillId="0" borderId="0" xfId="0" applyFont="1" applyBorder="1">
      <alignment vertical="top"/>
    </xf>
    <xf numFmtId="168" fontId="14" fillId="0" borderId="0" xfId="0" applyFont="1">
      <alignment vertical="top"/>
    </xf>
    <xf numFmtId="173" fontId="21" fillId="0" borderId="0" xfId="4" applyNumberFormat="1" applyFont="1" applyFill="1" applyBorder="1">
      <alignment vertical="top"/>
    </xf>
    <xf numFmtId="173" fontId="21" fillId="5" borderId="0" xfId="4" applyNumberFormat="1" applyFont="1" applyFill="1" applyBorder="1">
      <alignment vertical="top"/>
    </xf>
    <xf numFmtId="173" fontId="14" fillId="0" borderId="0" xfId="0" applyNumberFormat="1" applyFont="1" applyFill="1" applyBorder="1">
      <alignment vertical="top"/>
    </xf>
    <xf numFmtId="173" fontId="12" fillId="0" borderId="0" xfId="7" applyNumberFormat="1" applyFill="1" applyBorder="1">
      <alignment vertical="top"/>
    </xf>
    <xf numFmtId="173" fontId="13" fillId="0" borderId="0" xfId="8" applyNumberFormat="1" applyFill="1" applyBorder="1">
      <alignment vertical="top"/>
    </xf>
    <xf numFmtId="173" fontId="19" fillId="0" borderId="0" xfId="8" applyNumberFormat="1" applyFont="1" applyFill="1" applyBorder="1">
      <alignment vertical="top"/>
    </xf>
    <xf numFmtId="173" fontId="14" fillId="0" borderId="0" xfId="9" applyNumberFormat="1" applyFill="1" applyBorder="1">
      <alignment horizontal="right" vertical="top"/>
    </xf>
    <xf numFmtId="0" fontId="12" fillId="0" borderId="0" xfId="7" applyNumberFormat="1" applyFill="1" applyBorder="1">
      <alignment vertical="top"/>
    </xf>
    <xf numFmtId="0" fontId="13" fillId="0" borderId="0" xfId="8" applyBorder="1">
      <alignment vertical="top"/>
    </xf>
    <xf numFmtId="0" fontId="19" fillId="0" borderId="0" xfId="8" applyFont="1" applyBorder="1">
      <alignment vertical="top"/>
    </xf>
    <xf numFmtId="0" fontId="14" fillId="0" borderId="0" xfId="9" applyBorder="1">
      <alignment horizontal="right" vertical="top"/>
    </xf>
    <xf numFmtId="171" fontId="15" fillId="0" borderId="0" xfId="5" applyFont="1" applyBorder="1">
      <alignment vertical="top"/>
    </xf>
    <xf numFmtId="171" fontId="15" fillId="0" borderId="0" xfId="5" applyFont="1" applyFill="1" applyBorder="1">
      <alignment vertical="top"/>
    </xf>
    <xf numFmtId="171" fontId="16" fillId="0" borderId="0" xfId="5" applyFont="1" applyBorder="1">
      <alignment vertical="top"/>
    </xf>
    <xf numFmtId="171" fontId="14" fillId="0" borderId="0" xfId="5" applyFont="1" applyBorder="1">
      <alignment vertical="top"/>
    </xf>
    <xf numFmtId="171" fontId="14" fillId="0" borderId="0" xfId="5" applyFont="1" applyFill="1" applyBorder="1">
      <alignment vertical="top"/>
    </xf>
    <xf numFmtId="168" fontId="16" fillId="0" borderId="0" xfId="0" applyFont="1" applyBorder="1">
      <alignment vertical="top"/>
    </xf>
    <xf numFmtId="43" fontId="15" fillId="0" borderId="0" xfId="1" applyFont="1" applyBorder="1" applyAlignment="1">
      <alignment vertical="top"/>
    </xf>
    <xf numFmtId="166" fontId="14" fillId="0" borderId="0" xfId="3" applyFont="1" applyBorder="1">
      <alignment vertical="top"/>
    </xf>
    <xf numFmtId="43" fontId="21" fillId="0" borderId="0" xfId="1" applyFont="1" applyFill="1" applyBorder="1" applyAlignment="1">
      <alignment vertical="top"/>
    </xf>
    <xf numFmtId="0" fontId="13" fillId="0" borderId="0" xfId="8" applyFill="1" applyBorder="1">
      <alignment vertical="top"/>
    </xf>
    <xf numFmtId="0" fontId="19" fillId="0" borderId="0" xfId="8" applyFont="1" applyFill="1" applyBorder="1">
      <alignment vertical="top"/>
    </xf>
    <xf numFmtId="0" fontId="14" fillId="0" borderId="0" xfId="9" applyFill="1" applyBorder="1">
      <alignment horizontal="right" vertical="top"/>
    </xf>
    <xf numFmtId="0" fontId="12" fillId="0" borderId="0" xfId="7" applyNumberFormat="1" applyBorder="1">
      <alignment vertical="top"/>
    </xf>
    <xf numFmtId="167" fontId="12" fillId="0" borderId="0" xfId="7" applyBorder="1">
      <alignment vertical="top"/>
    </xf>
    <xf numFmtId="167" fontId="13" fillId="0" borderId="0" xfId="8" applyNumberFormat="1" applyFill="1" applyBorder="1">
      <alignment vertical="top"/>
    </xf>
    <xf numFmtId="167" fontId="19" fillId="0" borderId="0" xfId="8" applyNumberFormat="1" applyFont="1" applyFill="1" applyBorder="1">
      <alignment vertical="top"/>
    </xf>
    <xf numFmtId="167" fontId="14" fillId="0" borderId="0" xfId="9" applyNumberFormat="1" applyBorder="1">
      <alignment horizontal="right" vertical="top"/>
    </xf>
    <xf numFmtId="167" fontId="12" fillId="0" borderId="0" xfId="7" applyFill="1" applyBorder="1">
      <alignment vertical="top"/>
    </xf>
    <xf numFmtId="167" fontId="14" fillId="0" borderId="0" xfId="9" applyNumberFormat="1" applyFill="1" applyBorder="1">
      <alignment horizontal="right" vertical="top"/>
    </xf>
    <xf numFmtId="174" fontId="12" fillId="0" borderId="0" xfId="7" applyNumberFormat="1" applyFill="1" applyBorder="1">
      <alignment vertical="top"/>
    </xf>
    <xf numFmtId="174" fontId="13" fillId="0" borderId="0" xfId="8" applyNumberFormat="1" applyFill="1" applyBorder="1">
      <alignment vertical="top"/>
    </xf>
    <xf numFmtId="174" fontId="19" fillId="0" borderId="0" xfId="8" applyNumberFormat="1" applyFont="1" applyFill="1" applyBorder="1">
      <alignment vertical="top"/>
    </xf>
    <xf numFmtId="174" fontId="14" fillId="0" borderId="0" xfId="9" applyNumberFormat="1" applyFill="1" applyBorder="1">
      <alignment horizontal="right" vertical="top"/>
    </xf>
    <xf numFmtId="167" fontId="13" fillId="0" borderId="0" xfId="8" applyNumberFormat="1" applyBorder="1">
      <alignment vertical="top"/>
    </xf>
    <xf numFmtId="167" fontId="19" fillId="0" borderId="0" xfId="8" applyNumberFormat="1" applyFont="1" applyBorder="1">
      <alignment vertical="top"/>
    </xf>
    <xf numFmtId="166" fontId="20" fillId="0" borderId="0" xfId="3" applyFont="1" applyBorder="1">
      <alignment vertical="top"/>
    </xf>
    <xf numFmtId="175" fontId="14" fillId="0" borderId="0" xfId="0" applyNumberFormat="1" applyFont="1" applyFill="1" applyBorder="1">
      <alignment vertical="top"/>
    </xf>
    <xf numFmtId="43" fontId="20" fillId="0" borderId="0" xfId="1" applyFont="1" applyFill="1" applyBorder="1" applyAlignment="1">
      <alignment vertical="top"/>
    </xf>
    <xf numFmtId="166" fontId="20" fillId="0" borderId="0" xfId="3" applyFont="1" applyFill="1" applyBorder="1">
      <alignment vertical="top"/>
    </xf>
    <xf numFmtId="168" fontId="21" fillId="0" borderId="0" xfId="0" applyFont="1" applyBorder="1">
      <alignment vertical="top"/>
    </xf>
    <xf numFmtId="168" fontId="21" fillId="7" borderId="0" xfId="0" applyFont="1" applyFill="1" applyBorder="1">
      <alignment vertical="top"/>
    </xf>
    <xf numFmtId="168" fontId="22" fillId="8" borderId="0" xfId="0" applyFont="1" applyFill="1">
      <alignment vertical="top"/>
    </xf>
    <xf numFmtId="168" fontId="23" fillId="8" borderId="0" xfId="0" applyFont="1" applyFill="1" applyAlignment="1"/>
    <xf numFmtId="168" fontId="24" fillId="8" borderId="0" xfId="0" applyFont="1" applyFill="1" applyAlignment="1"/>
    <xf numFmtId="43" fontId="23" fillId="8" borderId="0" xfId="1" applyFont="1" applyFill="1"/>
    <xf numFmtId="43" fontId="15" fillId="0" borderId="0" xfId="1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171" fontId="16" fillId="0" borderId="0" xfId="5" applyFont="1" applyFill="1" applyBorder="1">
      <alignment vertical="top"/>
    </xf>
    <xf numFmtId="43" fontId="15" fillId="0" borderId="0" xfId="0" applyNumberFormat="1" applyFont="1" applyFill="1" applyBorder="1">
      <alignment vertical="top"/>
    </xf>
    <xf numFmtId="0" fontId="15" fillId="0" borderId="0" xfId="0" applyNumberFormat="1" applyFont="1" applyFill="1" applyBorder="1">
      <alignment vertical="top"/>
    </xf>
    <xf numFmtId="168" fontId="23" fillId="8" borderId="0" xfId="0" applyFont="1" applyFill="1">
      <alignment vertical="top"/>
    </xf>
    <xf numFmtId="168" fontId="12" fillId="9" borderId="0" xfId="0" applyFont="1" applyFill="1" applyBorder="1">
      <alignment vertical="top"/>
    </xf>
    <xf numFmtId="168" fontId="14" fillId="9" borderId="0" xfId="0" applyFont="1" applyFill="1" applyBorder="1">
      <alignment vertical="top"/>
    </xf>
    <xf numFmtId="168" fontId="12" fillId="9" borderId="0" xfId="0" applyFont="1" applyFill="1" applyBorder="1" applyAlignment="1">
      <alignment horizontal="left" vertical="top"/>
    </xf>
    <xf numFmtId="168" fontId="12" fillId="0" borderId="0" xfId="0" applyFont="1">
      <alignment vertical="top"/>
    </xf>
    <xf numFmtId="168" fontId="13" fillId="0" borderId="0" xfId="0" applyFont="1">
      <alignment vertical="top"/>
    </xf>
    <xf numFmtId="168" fontId="14" fillId="0" borderId="0" xfId="0" applyFont="1" applyAlignment="1">
      <alignment horizontal="right" vertical="top"/>
    </xf>
    <xf numFmtId="168" fontId="14" fillId="3" borderId="0" xfId="0" applyFont="1" applyFill="1" applyBorder="1" applyAlignment="1">
      <alignment horizontal="left" vertical="top"/>
    </xf>
    <xf numFmtId="168" fontId="14" fillId="0" borderId="0" xfId="0" applyFont="1" applyAlignment="1">
      <alignment horizontal="left" vertical="top"/>
    </xf>
    <xf numFmtId="168" fontId="14" fillId="5" borderId="0" xfId="0" applyFont="1" applyFill="1" applyBorder="1" applyAlignment="1">
      <alignment horizontal="left" vertical="top"/>
    </xf>
    <xf numFmtId="168" fontId="14" fillId="11" borderId="0" xfId="0" applyFont="1" applyFill="1" applyBorder="1" applyAlignment="1">
      <alignment horizontal="left" vertical="top"/>
    </xf>
    <xf numFmtId="168" fontId="14" fillId="12" borderId="0" xfId="0" applyFont="1" applyFill="1" applyBorder="1" applyAlignment="1">
      <alignment horizontal="left" vertical="top"/>
    </xf>
    <xf numFmtId="168" fontId="12" fillId="0" borderId="0" xfId="0" applyFont="1" applyBorder="1">
      <alignment vertical="top"/>
    </xf>
    <xf numFmtId="168" fontId="13" fillId="0" borderId="0" xfId="0" applyFont="1" applyBorder="1">
      <alignment vertical="top"/>
    </xf>
    <xf numFmtId="168" fontId="14" fillId="0" borderId="0" xfId="0" applyFont="1" applyBorder="1" applyAlignment="1">
      <alignment horizontal="right" vertical="top"/>
    </xf>
    <xf numFmtId="168" fontId="15" fillId="0" borderId="0" xfId="0" applyFont="1" applyBorder="1">
      <alignment vertical="top"/>
    </xf>
    <xf numFmtId="168" fontId="25" fillId="0" borderId="0" xfId="0" applyFont="1" applyBorder="1">
      <alignment vertical="top"/>
    </xf>
    <xf numFmtId="168" fontId="14" fillId="3" borderId="0" xfId="0" applyFont="1" applyFill="1" applyBorder="1">
      <alignment vertical="top"/>
    </xf>
    <xf numFmtId="168" fontId="14" fillId="5" borderId="0" xfId="0" applyFont="1" applyFill="1" applyBorder="1">
      <alignment vertical="top"/>
    </xf>
    <xf numFmtId="168" fontId="15" fillId="5" borderId="0" xfId="0" applyFont="1" applyFill="1" applyBorder="1">
      <alignment vertical="top"/>
    </xf>
    <xf numFmtId="168" fontId="14" fillId="10" borderId="0" xfId="0" applyFont="1" applyFill="1" applyBorder="1">
      <alignment vertical="top"/>
    </xf>
    <xf numFmtId="168" fontId="14" fillId="11" borderId="0" xfId="0" applyFont="1" applyFill="1" applyBorder="1">
      <alignment vertical="top"/>
    </xf>
    <xf numFmtId="168" fontId="14" fillId="13" borderId="0" xfId="0" applyFont="1" applyFill="1" applyBorder="1">
      <alignment vertical="top"/>
    </xf>
    <xf numFmtId="168" fontId="14" fillId="12" borderId="0" xfId="0" applyFont="1" applyFill="1" applyBorder="1">
      <alignment vertical="top"/>
    </xf>
    <xf numFmtId="168" fontId="12" fillId="0" borderId="0" xfId="0" applyFont="1" applyFill="1">
      <alignment vertical="top"/>
    </xf>
    <xf numFmtId="168" fontId="13" fillId="0" borderId="0" xfId="0" applyFont="1" applyFill="1">
      <alignment vertical="top"/>
    </xf>
    <xf numFmtId="168" fontId="14" fillId="14" borderId="0" xfId="0" applyFont="1" applyFill="1" applyBorder="1">
      <alignment vertical="top"/>
    </xf>
    <xf numFmtId="168" fontId="14" fillId="15" borderId="0" xfId="0" applyFont="1" applyFill="1" applyBorder="1">
      <alignment vertical="top"/>
    </xf>
    <xf numFmtId="168" fontId="14" fillId="16" borderId="0" xfId="0" applyFont="1" applyFill="1" applyBorder="1">
      <alignment vertical="top"/>
    </xf>
    <xf numFmtId="168" fontId="0" fillId="0" borderId="0" xfId="0" applyAlignment="1"/>
    <xf numFmtId="168" fontId="26" fillId="17" borderId="0" xfId="0" applyFont="1" applyFill="1">
      <alignment vertical="top"/>
    </xf>
    <xf numFmtId="168" fontId="0" fillId="17" borderId="0" xfId="0" applyFill="1">
      <alignment vertical="top"/>
    </xf>
    <xf numFmtId="168" fontId="20" fillId="0" borderId="0" xfId="0" applyFont="1" applyFill="1">
      <alignment vertical="top"/>
    </xf>
    <xf numFmtId="168" fontId="20" fillId="2" borderId="0" xfId="0" applyFont="1" applyFill="1">
      <alignment vertical="top"/>
    </xf>
    <xf numFmtId="168" fontId="27" fillId="0" borderId="0" xfId="0" applyFont="1" applyFill="1">
      <alignment vertical="top"/>
    </xf>
    <xf numFmtId="43" fontId="26" fillId="2" borderId="0" xfId="1" applyFont="1" applyFill="1" applyAlignment="1">
      <alignment horizontal="right" indent="1"/>
    </xf>
    <xf numFmtId="168" fontId="26" fillId="2" borderId="0" xfId="0" applyFont="1" applyFill="1">
      <alignment vertical="top"/>
    </xf>
    <xf numFmtId="168" fontId="27" fillId="2" borderId="0" xfId="0" applyFont="1" applyFill="1">
      <alignment vertical="top"/>
    </xf>
    <xf numFmtId="168" fontId="20" fillId="0" borderId="0" xfId="0" applyFont="1">
      <alignment vertical="top"/>
    </xf>
    <xf numFmtId="0" fontId="20" fillId="0" borderId="0" xfId="0" applyNumberFormat="1" applyFont="1">
      <alignment vertical="top"/>
    </xf>
    <xf numFmtId="168" fontId="20" fillId="0" borderId="0" xfId="0" applyFont="1" applyBorder="1">
      <alignment vertical="top"/>
    </xf>
    <xf numFmtId="168" fontId="26" fillId="17" borderId="0" xfId="0" applyFont="1" applyFill="1" applyAlignment="1"/>
    <xf numFmtId="168" fontId="14" fillId="18" borderId="0" xfId="0" applyFont="1" applyFill="1" applyAlignment="1">
      <alignment horizontal="right" vertical="top"/>
    </xf>
    <xf numFmtId="0" fontId="13" fillId="0" borderId="0" xfId="8" applyFill="1">
      <alignment vertical="top"/>
    </xf>
    <xf numFmtId="0" fontId="19" fillId="0" borderId="0" xfId="8" applyFont="1" applyFill="1">
      <alignment vertical="top"/>
    </xf>
    <xf numFmtId="0" fontId="14" fillId="0" borderId="0" xfId="9">
      <alignment horizontal="right" vertical="top"/>
    </xf>
    <xf numFmtId="0" fontId="14" fillId="0" borderId="0" xfId="9" applyFill="1">
      <alignment horizontal="right" vertical="top"/>
    </xf>
    <xf numFmtId="168" fontId="14" fillId="0" borderId="0" xfId="0" applyFont="1" applyFill="1">
      <alignment vertical="top"/>
    </xf>
    <xf numFmtId="168" fontId="26" fillId="5" borderId="0" xfId="0" applyFont="1" applyFill="1">
      <alignment vertical="top"/>
    </xf>
    <xf numFmtId="168" fontId="26" fillId="5" borderId="0" xfId="0" applyFont="1" applyFill="1" applyAlignment="1">
      <alignment wrapText="1"/>
    </xf>
    <xf numFmtId="168" fontId="26" fillId="5" borderId="0" xfId="0" applyFont="1" applyFill="1" applyAlignment="1">
      <alignment vertical="top" wrapText="1"/>
    </xf>
    <xf numFmtId="165" fontId="14" fillId="0" borderId="0" xfId="0" applyNumberFormat="1" applyFont="1" applyFill="1" applyBorder="1" applyAlignment="1">
      <alignment horizontal="left" vertical="top"/>
    </xf>
    <xf numFmtId="168" fontId="11" fillId="0" borderId="0" xfId="0" applyFont="1">
      <alignment vertical="top"/>
    </xf>
    <xf numFmtId="168" fontId="14" fillId="19" borderId="0" xfId="0" applyFont="1" applyFill="1" applyBorder="1">
      <alignment vertical="top"/>
    </xf>
    <xf numFmtId="168" fontId="14" fillId="9" borderId="0" xfId="0" applyFont="1" applyFill="1" applyBorder="1" applyAlignment="1">
      <alignment horizontal="left" vertical="top"/>
    </xf>
    <xf numFmtId="175" fontId="14" fillId="0" borderId="0" xfId="1" applyNumberFormat="1" applyFont="1" applyFill="1" applyBorder="1" applyAlignment="1">
      <alignment vertical="top"/>
    </xf>
    <xf numFmtId="175" fontId="14" fillId="0" borderId="0" xfId="1" applyNumberFormat="1" applyFont="1" applyBorder="1" applyAlignment="1">
      <alignment vertical="top"/>
    </xf>
    <xf numFmtId="168" fontId="20" fillId="5" borderId="0" xfId="0" applyFont="1" applyFill="1">
      <alignment vertical="top"/>
    </xf>
    <xf numFmtId="168" fontId="14" fillId="0" borderId="0" xfId="14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4" fillId="0" borderId="0" xfId="14" applyFont="1" applyFill="1" applyBorder="1">
      <alignment vertical="top"/>
    </xf>
    <xf numFmtId="168" fontId="14" fillId="0" borderId="0" xfId="14" applyFont="1" applyBorder="1">
      <alignment vertical="top"/>
    </xf>
    <xf numFmtId="166" fontId="12" fillId="0" borderId="0" xfId="15" applyFont="1" applyBorder="1">
      <alignment vertical="top"/>
    </xf>
    <xf numFmtId="168" fontId="14" fillId="20" borderId="0" xfId="14" applyFont="1" applyFill="1" applyAlignment="1">
      <alignment horizontal="right" vertical="top"/>
    </xf>
    <xf numFmtId="168" fontId="32" fillId="0" borderId="0" xfId="14" applyFont="1" applyBorder="1" applyAlignment="1">
      <alignment horizontal="left" vertical="top"/>
    </xf>
    <xf numFmtId="178" fontId="14" fillId="0" borderId="0" xfId="14" applyNumberFormat="1" applyFont="1" applyFill="1">
      <alignment vertical="top"/>
    </xf>
    <xf numFmtId="168" fontId="12" fillId="0" borderId="0" xfId="14" applyFont="1" applyBorder="1" applyAlignment="1">
      <alignment horizontal="right" vertical="top"/>
    </xf>
    <xf numFmtId="168" fontId="12" fillId="0" borderId="0" xfId="14" applyFont="1" applyBorder="1">
      <alignment vertical="top"/>
    </xf>
    <xf numFmtId="177" fontId="14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21" fillId="0" borderId="0" xfId="0" applyFont="1">
      <alignment vertical="top"/>
    </xf>
    <xf numFmtId="0" fontId="36" fillId="5" borderId="0" xfId="0" applyNumberFormat="1" applyFont="1" applyFill="1" applyAlignment="1">
      <alignment horizontal="right" vertical="center" wrapText="1"/>
    </xf>
    <xf numFmtId="168" fontId="26" fillId="0" borderId="0" xfId="0" applyFont="1" applyFill="1">
      <alignment vertical="top"/>
    </xf>
    <xf numFmtId="166" fontId="26" fillId="0" borderId="0" xfId="0" applyNumberFormat="1" applyFont="1">
      <alignment vertical="top"/>
    </xf>
    <xf numFmtId="43" fontId="16" fillId="5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38" fillId="0" borderId="0" xfId="1" applyFont="1" applyFill="1" applyAlignment="1">
      <alignment vertical="top"/>
    </xf>
    <xf numFmtId="43" fontId="29" fillId="0" borderId="0" xfId="1" applyFont="1" applyFill="1" applyAlignment="1">
      <alignment vertical="top"/>
    </xf>
    <xf numFmtId="43" fontId="16" fillId="0" borderId="0" xfId="1" applyFont="1" applyFill="1" applyAlignment="1">
      <alignment horizontal="right" vertical="top"/>
    </xf>
    <xf numFmtId="43" fontId="29" fillId="0" borderId="0" xfId="1" applyFont="1" applyFill="1" applyAlignment="1">
      <alignment horizontal="right" vertical="top"/>
    </xf>
    <xf numFmtId="169" fontId="16" fillId="0" borderId="0" xfId="16" applyFont="1">
      <alignment vertical="top"/>
    </xf>
    <xf numFmtId="168" fontId="16" fillId="0" borderId="0" xfId="0" applyFont="1">
      <alignment vertical="top"/>
    </xf>
    <xf numFmtId="169" fontId="29" fillId="0" borderId="0" xfId="16" applyFont="1">
      <alignment vertical="top"/>
    </xf>
    <xf numFmtId="176" fontId="14" fillId="0" borderId="0" xfId="0" applyNumberFormat="1" applyFont="1">
      <alignment vertical="top"/>
    </xf>
    <xf numFmtId="168" fontId="37" fillId="0" borderId="0" xfId="0" applyFont="1">
      <alignment vertical="top"/>
    </xf>
    <xf numFmtId="168" fontId="38" fillId="0" borderId="0" xfId="0" applyFont="1">
      <alignment vertical="top"/>
    </xf>
    <xf numFmtId="168" fontId="29" fillId="0" borderId="0" xfId="0" applyFont="1">
      <alignment vertical="top"/>
    </xf>
    <xf numFmtId="179" fontId="29" fillId="0" borderId="0" xfId="0" applyNumberFormat="1" applyFont="1">
      <alignment vertical="top"/>
    </xf>
    <xf numFmtId="168" fontId="9" fillId="0" borderId="0" xfId="0" applyFont="1">
      <alignment vertical="top"/>
    </xf>
    <xf numFmtId="176" fontId="16" fillId="0" borderId="0" xfId="0" applyNumberFormat="1" applyFont="1">
      <alignment vertical="top"/>
    </xf>
    <xf numFmtId="168" fontId="14" fillId="0" borderId="0" xfId="0" quotePrefix="1" applyFont="1">
      <alignment vertical="top"/>
    </xf>
    <xf numFmtId="169" fontId="21" fillId="0" borderId="0" xfId="16" applyFont="1">
      <alignment vertical="top"/>
    </xf>
    <xf numFmtId="170" fontId="29" fillId="0" borderId="0" xfId="21" applyFont="1">
      <alignment vertical="top"/>
    </xf>
    <xf numFmtId="176" fontId="14" fillId="0" borderId="0" xfId="21" applyNumberFormat="1" applyFont="1">
      <alignment vertical="top"/>
    </xf>
    <xf numFmtId="169" fontId="14" fillId="0" borderId="0" xfId="16" applyFont="1">
      <alignment vertical="top"/>
    </xf>
    <xf numFmtId="176" fontId="14" fillId="5" borderId="0" xfId="21" applyNumberFormat="1" applyFont="1" applyFill="1">
      <alignment vertical="top"/>
    </xf>
    <xf numFmtId="168" fontId="12" fillId="9" borderId="0" xfId="0" applyFont="1" applyFill="1">
      <alignment vertical="top"/>
    </xf>
    <xf numFmtId="168" fontId="14" fillId="9" borderId="0" xfId="0" applyFont="1" applyFill="1">
      <alignment vertical="top"/>
    </xf>
    <xf numFmtId="176" fontId="20" fillId="0" borderId="0" xfId="0" applyNumberFormat="1" applyFont="1">
      <alignment vertical="top"/>
    </xf>
    <xf numFmtId="168" fontId="17" fillId="0" borderId="0" xfId="0" applyFont="1">
      <alignment vertical="top"/>
    </xf>
    <xf numFmtId="168" fontId="18" fillId="0" borderId="0" xfId="0" applyFont="1">
      <alignment vertical="top"/>
    </xf>
    <xf numFmtId="168" fontId="16" fillId="0" borderId="0" xfId="0" quotePrefix="1" applyFont="1">
      <alignment vertical="top"/>
    </xf>
    <xf numFmtId="168" fontId="59" fillId="0" borderId="0" xfId="0" applyFont="1">
      <alignment vertical="top"/>
    </xf>
    <xf numFmtId="170" fontId="21" fillId="0" borderId="0" xfId="21" applyFont="1">
      <alignment vertical="top"/>
    </xf>
    <xf numFmtId="168" fontId="34" fillId="0" borderId="0" xfId="0" applyFont="1">
      <alignment vertical="top"/>
    </xf>
    <xf numFmtId="168" fontId="35" fillId="0" borderId="0" xfId="0" applyFont="1">
      <alignment vertical="top"/>
    </xf>
    <xf numFmtId="168" fontId="21" fillId="0" borderId="0" xfId="0" applyFont="1" applyFill="1" applyBorder="1">
      <alignment vertical="top"/>
    </xf>
    <xf numFmtId="175" fontId="14" fillId="0" borderId="0" xfId="1" applyNumberFormat="1" applyFont="1" applyAlignment="1">
      <alignment vertical="top"/>
    </xf>
    <xf numFmtId="175" fontId="14" fillId="0" borderId="0" xfId="1" applyNumberFormat="1" applyFont="1" applyFill="1" applyAlignment="1">
      <alignment vertical="top"/>
    </xf>
    <xf numFmtId="168" fontId="6" fillId="0" borderId="0" xfId="0" applyFont="1">
      <alignment vertical="top"/>
    </xf>
    <xf numFmtId="175" fontId="29" fillId="0" borderId="0" xfId="1" applyNumberFormat="1" applyFont="1" applyFill="1" applyAlignment="1">
      <alignment vertical="top"/>
    </xf>
    <xf numFmtId="43" fontId="37" fillId="0" borderId="0" xfId="1" applyFont="1" applyAlignment="1">
      <alignment vertical="top"/>
    </xf>
    <xf numFmtId="43" fontId="29" fillId="0" borderId="0" xfId="1" applyFont="1" applyAlignment="1">
      <alignment horizontal="right" vertical="top"/>
    </xf>
    <xf numFmtId="169" fontId="16" fillId="0" borderId="0" xfId="2" applyFont="1">
      <alignment vertical="top"/>
    </xf>
    <xf numFmtId="168" fontId="29" fillId="0" borderId="0" xfId="0" applyFont="1" applyAlignment="1">
      <alignment horizontal="right" vertical="top"/>
    </xf>
    <xf numFmtId="170" fontId="37" fillId="0" borderId="0" xfId="21" applyFont="1" applyFill="1">
      <alignment vertical="top"/>
    </xf>
    <xf numFmtId="170" fontId="38" fillId="0" borderId="0" xfId="21" applyFont="1" applyFill="1">
      <alignment vertical="top"/>
    </xf>
    <xf numFmtId="168" fontId="29" fillId="0" borderId="0" xfId="0" applyFont="1" applyFill="1" applyAlignment="1">
      <alignment horizontal="right" vertical="top"/>
    </xf>
    <xf numFmtId="179" fontId="14" fillId="0" borderId="0" xfId="21" applyNumberFormat="1" applyFont="1" applyFill="1">
      <alignment vertical="top"/>
    </xf>
    <xf numFmtId="179" fontId="14" fillId="5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9" fontId="13" fillId="0" borderId="0" xfId="21" applyNumberFormat="1" applyFont="1" applyFill="1">
      <alignment vertical="top"/>
    </xf>
    <xf numFmtId="176" fontId="14" fillId="0" borderId="0" xfId="21" applyNumberFormat="1" applyFont="1" applyFill="1">
      <alignment vertical="top"/>
    </xf>
    <xf numFmtId="176" fontId="14" fillId="0" borderId="0" xfId="21" applyNumberFormat="1" applyFont="1" applyFill="1" applyBorder="1">
      <alignment vertical="top"/>
    </xf>
    <xf numFmtId="176" fontId="16" fillId="0" borderId="0" xfId="0" applyNumberFormat="1" applyFont="1" applyFill="1">
      <alignment vertical="top"/>
    </xf>
    <xf numFmtId="179" fontId="14" fillId="0" borderId="0" xfId="21" applyNumberFormat="1" applyFont="1">
      <alignment vertical="top"/>
    </xf>
    <xf numFmtId="176" fontId="29" fillId="0" borderId="0" xfId="21" applyNumberFormat="1" applyFont="1" applyFill="1" applyBorder="1">
      <alignment vertical="top"/>
    </xf>
    <xf numFmtId="176" fontId="29" fillId="0" borderId="0" xfId="21" applyNumberFormat="1" applyFont="1" applyBorder="1">
      <alignment vertical="top"/>
    </xf>
    <xf numFmtId="179" fontId="12" fillId="0" borderId="0" xfId="21" applyNumberFormat="1" applyFont="1">
      <alignment vertical="top"/>
    </xf>
    <xf numFmtId="168" fontId="16" fillId="0" borderId="0" xfId="21" applyNumberFormat="1" applyFont="1">
      <alignment vertical="top"/>
    </xf>
    <xf numFmtId="168" fontId="29" fillId="0" borderId="2" xfId="0" applyFont="1" applyBorder="1">
      <alignment vertical="top"/>
    </xf>
    <xf numFmtId="168" fontId="14" fillId="0" borderId="2" xfId="0" applyFont="1" applyBorder="1">
      <alignment vertical="top"/>
    </xf>
    <xf numFmtId="179" fontId="12" fillId="0" borderId="0" xfId="21" applyNumberFormat="1" applyFont="1" applyFill="1" applyBorder="1">
      <alignment vertical="top"/>
    </xf>
    <xf numFmtId="168" fontId="14" fillId="0" borderId="0" xfId="0" applyFont="1" applyFill="1" applyBorder="1" applyAlignment="1">
      <alignment horizontal="right" vertical="top"/>
    </xf>
    <xf numFmtId="168" fontId="16" fillId="0" borderId="0" xfId="0" applyFont="1" applyFill="1" applyBorder="1">
      <alignment vertical="top"/>
    </xf>
    <xf numFmtId="176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4" fillId="0" borderId="2" xfId="21" applyNumberFormat="1" applyFont="1" applyFill="1" applyBorder="1">
      <alignment vertical="top"/>
    </xf>
    <xf numFmtId="168" fontId="14" fillId="0" borderId="0" xfId="0" applyFont="1" applyFill="1" applyAlignment="1">
      <alignment horizontal="right" vertical="top"/>
    </xf>
    <xf numFmtId="170" fontId="16" fillId="0" borderId="0" xfId="21" applyFont="1" applyFill="1">
      <alignment vertical="top"/>
    </xf>
    <xf numFmtId="179" fontId="16" fillId="0" borderId="0" xfId="21" applyNumberFormat="1" applyFont="1">
      <alignment vertical="top"/>
    </xf>
    <xf numFmtId="168" fontId="29" fillId="0" borderId="0" xfId="0" applyFont="1" applyFill="1" applyBorder="1">
      <alignment vertical="top"/>
    </xf>
    <xf numFmtId="168" fontId="29" fillId="0" borderId="0" xfId="0" applyFont="1" applyFill="1" applyBorder="1" applyAlignment="1">
      <alignment horizontal="right" vertical="top"/>
    </xf>
    <xf numFmtId="176" fontId="29" fillId="0" borderId="2" xfId="21" applyNumberFormat="1" applyFont="1" applyFill="1" applyBorder="1">
      <alignment vertical="top"/>
    </xf>
    <xf numFmtId="168" fontId="29" fillId="0" borderId="2" xfId="0" applyFont="1" applyFill="1" applyBorder="1">
      <alignment vertical="top"/>
    </xf>
    <xf numFmtId="168" fontId="29" fillId="0" borderId="2" xfId="0" applyFont="1" applyFill="1" applyBorder="1" applyAlignment="1">
      <alignment horizontal="left" vertical="top"/>
    </xf>
    <xf numFmtId="168" fontId="34" fillId="0" borderId="0" xfId="0" applyFont="1" applyFill="1" applyBorder="1">
      <alignment vertical="top"/>
    </xf>
    <xf numFmtId="168" fontId="21" fillId="0" borderId="0" xfId="0" applyFont="1" applyFill="1" applyBorder="1" applyAlignment="1">
      <alignment horizontal="right" vertical="top"/>
    </xf>
    <xf numFmtId="176" fontId="21" fillId="0" borderId="0" xfId="21" applyNumberFormat="1" applyFont="1" applyFill="1" applyBorder="1">
      <alignment vertical="top"/>
    </xf>
    <xf numFmtId="168" fontId="37" fillId="0" borderId="0" xfId="0" applyFont="1" applyFill="1" applyBorder="1">
      <alignment vertical="top"/>
    </xf>
    <xf numFmtId="179" fontId="29" fillId="0" borderId="0" xfId="21" applyNumberFormat="1" applyFont="1" applyFill="1" applyBorder="1">
      <alignment vertical="top"/>
    </xf>
    <xf numFmtId="179" fontId="21" fillId="0" borderId="0" xfId="21" applyNumberFormat="1" applyFont="1" applyFill="1" applyBorder="1">
      <alignment vertical="top"/>
    </xf>
    <xf numFmtId="179" fontId="17" fillId="0" borderId="0" xfId="21" applyNumberFormat="1" applyFont="1">
      <alignment vertical="top"/>
    </xf>
    <xf numFmtId="179" fontId="18" fillId="0" borderId="0" xfId="21" applyNumberFormat="1" applyFont="1" applyFill="1">
      <alignment vertical="top"/>
    </xf>
    <xf numFmtId="176" fontId="16" fillId="0" borderId="0" xfId="21" applyNumberFormat="1" applyFont="1" applyFill="1">
      <alignment vertical="top"/>
    </xf>
    <xf numFmtId="176" fontId="21" fillId="0" borderId="2" xfId="21" applyNumberFormat="1" applyFont="1" applyFill="1" applyBorder="1">
      <alignment vertical="top"/>
    </xf>
    <xf numFmtId="0" fontId="60" fillId="5" borderId="0" xfId="0" applyNumberFormat="1" applyFont="1" applyFill="1" applyAlignment="1">
      <alignment horizontal="right" vertical="center" wrapText="1"/>
    </xf>
    <xf numFmtId="168" fontId="26" fillId="5" borderId="0" xfId="0" applyFont="1" applyFill="1" applyAlignment="1">
      <alignment horizontal="right" vertical="top"/>
    </xf>
    <xf numFmtId="168" fontId="11" fillId="5" borderId="0" xfId="0" applyFont="1" applyFill="1">
      <alignment vertical="top"/>
    </xf>
    <xf numFmtId="176" fontId="14" fillId="0" borderId="0" xfId="0" applyNumberFormat="1" applyFont="1" applyFill="1" applyBorder="1">
      <alignment vertical="top"/>
    </xf>
    <xf numFmtId="168" fontId="58" fillId="9" borderId="0" xfId="0" applyFont="1" applyFill="1" applyBorder="1">
      <alignment vertical="top"/>
    </xf>
    <xf numFmtId="168" fontId="9" fillId="0" borderId="0" xfId="0" applyFont="1" applyFill="1">
      <alignment vertical="top"/>
    </xf>
    <xf numFmtId="168" fontId="14" fillId="0" borderId="0" xfId="0" applyFont="1" applyFill="1" applyBorder="1" applyAlignment="1">
      <alignment horizontal="left" vertical="top"/>
    </xf>
    <xf numFmtId="168" fontId="14" fillId="4" borderId="0" xfId="0" applyFont="1" applyFill="1">
      <alignment vertical="top"/>
    </xf>
    <xf numFmtId="176" fontId="14" fillId="0" borderId="2" xfId="21" applyNumberFormat="1" applyFont="1" applyBorder="1">
      <alignment vertical="top"/>
    </xf>
    <xf numFmtId="176" fontId="12" fillId="0" borderId="2" xfId="21" applyNumberFormat="1" applyFont="1" applyFill="1" applyBorder="1">
      <alignment vertical="top"/>
    </xf>
    <xf numFmtId="176" fontId="29" fillId="0" borderId="0" xfId="4" applyNumberFormat="1" applyFont="1" applyFill="1" applyBorder="1">
      <alignment vertical="top"/>
    </xf>
    <xf numFmtId="176" fontId="29" fillId="5" borderId="0" xfId="4" applyNumberFormat="1" applyFont="1" applyFill="1" applyBorder="1">
      <alignment vertical="top"/>
    </xf>
    <xf numFmtId="179" fontId="37" fillId="0" borderId="0" xfId="21" applyNumberFormat="1" applyFont="1">
      <alignment vertical="top"/>
    </xf>
    <xf numFmtId="179" fontId="38" fillId="0" borderId="0" xfId="21" applyNumberFormat="1" applyFont="1" applyFill="1">
      <alignment vertical="top"/>
    </xf>
    <xf numFmtId="176" fontId="29" fillId="0" borderId="0" xfId="21" applyNumberFormat="1" applyFont="1" applyFill="1">
      <alignment vertical="top"/>
    </xf>
    <xf numFmtId="168" fontId="20" fillId="17" borderId="0" xfId="0" applyFont="1" applyFill="1">
      <alignment vertical="top"/>
    </xf>
    <xf numFmtId="166" fontId="21" fillId="0" borderId="0" xfId="3" applyFont="1" applyFill="1" applyBorder="1">
      <alignment vertical="top"/>
    </xf>
    <xf numFmtId="168" fontId="12" fillId="0" borderId="0" xfId="7" applyNumberFormat="1" applyFill="1" applyBorder="1">
      <alignment vertical="top"/>
    </xf>
    <xf numFmtId="166" fontId="14" fillId="0" borderId="0" xfId="3" applyFont="1" applyFill="1" applyBorder="1" applyAlignment="1">
      <alignment horizontal="right" vertical="top"/>
    </xf>
    <xf numFmtId="166" fontId="14" fillId="0" borderId="0" xfId="3" applyFont="1" applyBorder="1" applyAlignment="1">
      <alignment horizontal="left" vertical="top"/>
    </xf>
    <xf numFmtId="168" fontId="14" fillId="7" borderId="0" xfId="0" applyFont="1" applyFill="1" applyBorder="1">
      <alignment vertical="top"/>
    </xf>
    <xf numFmtId="0" fontId="14" fillId="0" borderId="0" xfId="0" applyNumberFormat="1" applyFont="1" applyBorder="1">
      <alignment vertical="top"/>
    </xf>
    <xf numFmtId="168" fontId="5" fillId="0" borderId="0" xfId="0" applyFont="1">
      <alignment vertical="top"/>
    </xf>
    <xf numFmtId="176" fontId="20" fillId="0" borderId="0" xfId="21" applyNumberFormat="1" applyFont="1">
      <alignment vertical="top"/>
    </xf>
    <xf numFmtId="176" fontId="29" fillId="0" borderId="0" xfId="0" applyNumberFormat="1" applyFont="1">
      <alignment vertical="top"/>
    </xf>
    <xf numFmtId="176" fontId="16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4" fillId="0" borderId="0" xfId="7" applyNumberFormat="1" applyFont="1" applyBorder="1">
      <alignment vertical="top"/>
    </xf>
    <xf numFmtId="0" fontId="35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21" fillId="0" borderId="0" xfId="9" applyFont="1" applyBorder="1">
      <alignment horizontal="right" vertical="top"/>
    </xf>
    <xf numFmtId="43" fontId="21" fillId="0" borderId="0" xfId="1" applyFont="1" applyBorder="1" applyAlignment="1">
      <alignment vertical="top"/>
    </xf>
    <xf numFmtId="175" fontId="21" fillId="0" borderId="0" xfId="1" applyNumberFormat="1" applyFont="1" applyBorder="1" applyAlignment="1">
      <alignment vertical="top"/>
    </xf>
    <xf numFmtId="168" fontId="9" fillId="9" borderId="0" xfId="0" applyFont="1" applyFill="1" applyBorder="1">
      <alignment vertical="top"/>
    </xf>
    <xf numFmtId="168" fontId="58" fillId="9" borderId="0" xfId="0" applyFont="1" applyFill="1" applyBorder="1" applyAlignment="1">
      <alignment horizontal="right" vertical="top"/>
    </xf>
    <xf numFmtId="168" fontId="58" fillId="0" borderId="0" xfId="0" applyFont="1" applyFill="1" applyBorder="1">
      <alignment vertical="top"/>
    </xf>
    <xf numFmtId="168" fontId="9" fillId="0" borderId="0" xfId="0" applyFont="1" applyFill="1" applyBorder="1">
      <alignment vertical="top"/>
    </xf>
    <xf numFmtId="168" fontId="58" fillId="0" borderId="0" xfId="0" applyFont="1" applyFill="1" applyBorder="1" applyAlignment="1">
      <alignment horizontal="right" vertical="top"/>
    </xf>
    <xf numFmtId="168" fontId="4" fillId="0" borderId="0" xfId="0" applyFont="1">
      <alignment vertical="top"/>
    </xf>
    <xf numFmtId="176" fontId="14" fillId="0" borderId="0" xfId="0" applyNumberFormat="1" applyFont="1" applyAlignment="1">
      <alignment horizontal="right" vertical="top"/>
    </xf>
    <xf numFmtId="169" fontId="14" fillId="0" borderId="0" xfId="2" applyFont="1">
      <alignment vertical="top"/>
    </xf>
    <xf numFmtId="176" fontId="14" fillId="0" borderId="0" xfId="0" applyNumberFormat="1" applyFont="1" applyAlignment="1">
      <alignment horizontal="left" vertical="top"/>
    </xf>
    <xf numFmtId="176" fontId="16" fillId="0" borderId="0" xfId="0" applyNumberFormat="1" applyFont="1" applyAlignment="1">
      <alignment horizontal="left" vertical="top"/>
    </xf>
    <xf numFmtId="168" fontId="20" fillId="17" borderId="0" xfId="0" applyFont="1" applyFill="1" applyAlignment="1"/>
    <xf numFmtId="168" fontId="20" fillId="0" borderId="0" xfId="0" applyFont="1" applyFill="1" applyBorder="1">
      <alignment vertical="top"/>
    </xf>
    <xf numFmtId="168" fontId="14" fillId="0" borderId="0" xfId="21" applyNumberFormat="1" applyFont="1" applyFill="1" applyBorder="1">
      <alignment vertical="top"/>
    </xf>
    <xf numFmtId="168" fontId="14" fillId="6" borderId="0" xfId="21" applyNumberFormat="1" applyFont="1" applyFill="1" applyBorder="1">
      <alignment vertical="top"/>
    </xf>
    <xf numFmtId="175" fontId="20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4" fillId="6" borderId="0" xfId="21" applyNumberFormat="1" applyFont="1" applyFill="1" applyBorder="1">
      <alignment vertical="top"/>
    </xf>
    <xf numFmtId="179" fontId="20" fillId="0" borderId="0" xfId="0" applyNumberFormat="1" applyFont="1" applyFill="1" applyBorder="1">
      <alignment vertical="top"/>
    </xf>
    <xf numFmtId="169" fontId="14" fillId="6" borderId="0" xfId="2" applyFont="1" applyFill="1" applyBorder="1">
      <alignment vertical="top"/>
    </xf>
    <xf numFmtId="169" fontId="20" fillId="0" borderId="0" xfId="2" applyFont="1" applyFill="1" applyBorder="1">
      <alignment vertical="top"/>
    </xf>
    <xf numFmtId="168" fontId="62" fillId="0" borderId="0" xfId="0" applyFont="1" applyFill="1">
      <alignment vertical="top"/>
    </xf>
    <xf numFmtId="176" fontId="14" fillId="0" borderId="0" xfId="0" applyNumberFormat="1" applyFont="1" applyFill="1">
      <alignment vertical="top"/>
    </xf>
    <xf numFmtId="169" fontId="14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4" fillId="3" borderId="0" xfId="5" applyFont="1" applyFill="1" applyBorder="1">
      <alignment vertical="top"/>
    </xf>
    <xf numFmtId="0" fontId="14" fillId="3" borderId="0" xfId="5" applyNumberFormat="1" applyFont="1" applyFill="1" applyBorder="1">
      <alignment vertical="top"/>
    </xf>
    <xf numFmtId="168" fontId="14" fillId="3" borderId="0" xfId="0" applyFont="1" applyFill="1">
      <alignment vertical="top"/>
    </xf>
    <xf numFmtId="170" fontId="14" fillId="3" borderId="0" xfId="4" applyFont="1" applyFill="1">
      <alignment vertical="top"/>
    </xf>
    <xf numFmtId="177" fontId="14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3" fillId="0" borderId="0" xfId="0" applyFont="1">
      <alignment vertical="top"/>
    </xf>
    <xf numFmtId="179" fontId="16" fillId="0" borderId="0" xfId="1" applyNumberFormat="1" applyFont="1" applyFill="1" applyAlignment="1">
      <alignment vertical="top"/>
    </xf>
    <xf numFmtId="168" fontId="16" fillId="0" borderId="0" xfId="1" applyNumberFormat="1" applyFont="1" applyFill="1" applyAlignment="1">
      <alignment vertical="top"/>
    </xf>
    <xf numFmtId="176" fontId="16" fillId="0" borderId="0" xfId="1" applyNumberFormat="1" applyFont="1" applyFill="1" applyAlignment="1">
      <alignment vertical="top"/>
    </xf>
    <xf numFmtId="176" fontId="14" fillId="0" borderId="0" xfId="0" applyNumberFormat="1" applyFont="1" applyFill="1" applyAlignment="1">
      <alignment horizontal="left" vertical="top"/>
    </xf>
    <xf numFmtId="176" fontId="21" fillId="0" borderId="0" xfId="0" applyNumberFormat="1" applyFont="1">
      <alignment vertical="top"/>
    </xf>
    <xf numFmtId="168" fontId="21" fillId="0" borderId="0" xfId="0" applyFont="1" applyFill="1">
      <alignment vertical="top"/>
    </xf>
    <xf numFmtId="168" fontId="3" fillId="17" borderId="0" xfId="0" applyFont="1" applyFill="1">
      <alignment vertical="top"/>
    </xf>
    <xf numFmtId="168" fontId="3" fillId="0" borderId="0" xfId="0" applyFont="1" applyFill="1">
      <alignment vertical="top"/>
    </xf>
    <xf numFmtId="168" fontId="14" fillId="0" borderId="2" xfId="0" applyFont="1" applyFill="1" applyBorder="1">
      <alignment vertical="top"/>
    </xf>
    <xf numFmtId="0" fontId="66" fillId="55" borderId="13" xfId="81" applyFont="1" applyFill="1" applyBorder="1" applyAlignment="1">
      <alignment vertical="top"/>
    </xf>
    <xf numFmtId="0" fontId="67" fillId="55" borderId="13" xfId="81" applyFont="1" applyFill="1" applyBorder="1" applyAlignment="1">
      <alignment vertical="top"/>
    </xf>
    <xf numFmtId="0" fontId="2" fillId="0" borderId="13" xfId="81" applyBorder="1"/>
    <xf numFmtId="0" fontId="67" fillId="55" borderId="0" xfId="81" applyFont="1" applyFill="1" applyAlignment="1">
      <alignment vertical="top"/>
    </xf>
    <xf numFmtId="0" fontId="2" fillId="0" borderId="0" xfId="81"/>
    <xf numFmtId="0" fontId="57" fillId="55" borderId="0" xfId="81" applyFont="1" applyFill="1" applyAlignment="1">
      <alignment vertical="top"/>
    </xf>
    <xf numFmtId="180" fontId="57" fillId="55" borderId="0" xfId="81" applyNumberFormat="1" applyFont="1" applyFill="1" applyAlignment="1">
      <alignment horizontal="left" vertical="top"/>
    </xf>
    <xf numFmtId="0" fontId="20" fillId="0" borderId="0" xfId="81" applyFont="1"/>
    <xf numFmtId="168" fontId="30" fillId="0" borderId="0" xfId="73" applyNumberFormat="1" applyFill="1" applyProtection="1">
      <alignment vertical="top"/>
    </xf>
    <xf numFmtId="0" fontId="68" fillId="0" borderId="0" xfId="81" applyFont="1" applyAlignment="1">
      <alignment vertical="top"/>
    </xf>
    <xf numFmtId="0" fontId="14" fillId="56" borderId="14" xfId="81" applyFont="1" applyFill="1" applyBorder="1" applyAlignment="1">
      <alignment horizontal="center" vertical="center"/>
    </xf>
    <xf numFmtId="0" fontId="14" fillId="56" borderId="15" xfId="81" applyFont="1" applyFill="1" applyBorder="1" applyAlignment="1">
      <alignment horizontal="center" vertical="center"/>
    </xf>
    <xf numFmtId="0" fontId="14" fillId="56" borderId="1" xfId="81" applyFont="1" applyFill="1" applyBorder="1" applyAlignment="1">
      <alignment horizontal="center" vertical="center"/>
    </xf>
    <xf numFmtId="0" fontId="14" fillId="56" borderId="15" xfId="81" applyFont="1" applyFill="1" applyBorder="1" applyAlignment="1">
      <alignment horizontal="center" vertical="center" wrapText="1"/>
    </xf>
    <xf numFmtId="0" fontId="29" fillId="5" borderId="1" xfId="81" applyFont="1" applyFill="1" applyBorder="1" applyAlignment="1">
      <alignment vertical="top" wrapText="1"/>
    </xf>
    <xf numFmtId="0" fontId="14" fillId="5" borderId="15" xfId="81" applyFont="1" applyFill="1" applyBorder="1" applyAlignment="1">
      <alignment vertical="top" wrapText="1"/>
    </xf>
    <xf numFmtId="0" fontId="29" fillId="0" borderId="0" xfId="81" applyFont="1" applyAlignment="1">
      <alignment vertical="top"/>
    </xf>
    <xf numFmtId="0" fontId="69" fillId="0" borderId="0" xfId="81" applyFont="1" applyAlignment="1">
      <alignment vertical="top"/>
    </xf>
    <xf numFmtId="0" fontId="16" fillId="57" borderId="18" xfId="81" applyFont="1" applyFill="1" applyBorder="1" applyAlignment="1">
      <alignment vertical="top" wrapText="1"/>
    </xf>
    <xf numFmtId="0" fontId="16" fillId="57" borderId="19" xfId="81" applyFont="1" applyFill="1" applyBorder="1" applyAlignment="1">
      <alignment vertical="top" wrapText="1"/>
    </xf>
    <xf numFmtId="0" fontId="16" fillId="57" borderId="20" xfId="81" applyFont="1" applyFill="1" applyBorder="1" applyAlignment="1">
      <alignment vertical="top" wrapText="1"/>
    </xf>
    <xf numFmtId="168" fontId="26" fillId="7" borderId="0" xfId="83" applyFont="1" applyFill="1">
      <alignment vertical="top"/>
    </xf>
    <xf numFmtId="0" fontId="2" fillId="7" borderId="0" xfId="81" applyFill="1"/>
    <xf numFmtId="0" fontId="14" fillId="7" borderId="0" xfId="81" applyFont="1" applyFill="1" applyAlignment="1">
      <alignment vertical="top"/>
    </xf>
    <xf numFmtId="170" fontId="14" fillId="0" borderId="0" xfId="0" applyNumberFormat="1" applyFont="1" applyFill="1" applyBorder="1">
      <alignment vertical="top"/>
    </xf>
    <xf numFmtId="176" fontId="20" fillId="0" borderId="0" xfId="0" applyNumberFormat="1" applyFont="1" applyFill="1">
      <alignment vertical="top"/>
    </xf>
    <xf numFmtId="43" fontId="20" fillId="0" borderId="0" xfId="0" applyNumberFormat="1" applyFont="1" applyFill="1">
      <alignment vertical="top"/>
    </xf>
    <xf numFmtId="170" fontId="28" fillId="0" borderId="0" xfId="0" applyNumberFormat="1" applyFont="1" applyFill="1">
      <alignment vertical="top"/>
    </xf>
    <xf numFmtId="169" fontId="28" fillId="0" borderId="0" xfId="0" applyNumberFormat="1" applyFont="1" applyFill="1">
      <alignment vertical="top"/>
    </xf>
    <xf numFmtId="168" fontId="39" fillId="0" borderId="0" xfId="0" applyFont="1" applyFill="1">
      <alignment vertical="top"/>
    </xf>
    <xf numFmtId="168" fontId="14" fillId="0" borderId="0" xfId="1" applyNumberFormat="1" applyFont="1" applyFill="1" applyAlignment="1">
      <alignment vertical="top"/>
    </xf>
    <xf numFmtId="179" fontId="14" fillId="6" borderId="0" xfId="21" applyNumberFormat="1" applyFont="1" applyFill="1" applyBorder="1">
      <alignment vertical="top"/>
    </xf>
    <xf numFmtId="179" fontId="34" fillId="6" borderId="0" xfId="21" applyNumberFormat="1" applyFont="1" applyFill="1" applyBorder="1">
      <alignment vertical="top"/>
    </xf>
    <xf numFmtId="179" fontId="16" fillId="0" borderId="0" xfId="0" applyNumberFormat="1" applyFont="1">
      <alignment vertical="top"/>
    </xf>
    <xf numFmtId="179" fontId="34" fillId="58" borderId="0" xfId="21" applyNumberFormat="1" applyFont="1" applyFill="1" applyBorder="1">
      <alignment vertical="top"/>
    </xf>
    <xf numFmtId="169" fontId="14" fillId="58" borderId="0" xfId="2" applyFont="1" applyFill="1" applyBorder="1">
      <alignment vertical="top"/>
    </xf>
    <xf numFmtId="177" fontId="14" fillId="58" borderId="0" xfId="4" applyNumberFormat="1" applyFont="1" applyFill="1" applyBorder="1">
      <alignment vertical="top"/>
    </xf>
    <xf numFmtId="168" fontId="1" fillId="0" borderId="0" xfId="0" applyFont="1">
      <alignment vertical="top"/>
    </xf>
    <xf numFmtId="168" fontId="1" fillId="0" borderId="0" xfId="0" applyFont="1" applyBorder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179" fontId="0" fillId="0" borderId="0" xfId="0" applyNumberFormat="1">
      <alignment vertical="top"/>
    </xf>
    <xf numFmtId="49" fontId="57" fillId="55" borderId="0" xfId="20" applyNumberFormat="1" applyFont="1" applyFill="1" applyAlignment="1">
      <alignment horizontal="left" vertical="top"/>
    </xf>
    <xf numFmtId="49" fontId="70" fillId="55" borderId="0" xfId="20" applyNumberFormat="1" applyFont="1" applyFill="1" applyAlignment="1">
      <alignment horizontal="left" vertical="top"/>
    </xf>
    <xf numFmtId="0" fontId="29" fillId="5" borderId="16" xfId="81" applyFont="1" applyFill="1" applyBorder="1" applyAlignment="1">
      <alignment vertical="top" wrapText="1"/>
    </xf>
    <xf numFmtId="0" fontId="29" fillId="5" borderId="17" xfId="81" applyFont="1" applyFill="1" applyBorder="1" applyAlignment="1">
      <alignment vertical="top" wrapText="1"/>
    </xf>
    <xf numFmtId="0" fontId="14" fillId="57" borderId="18" xfId="81" applyFont="1" applyFill="1" applyBorder="1" applyAlignment="1">
      <alignment horizontal="left" vertical="top" wrapText="1"/>
    </xf>
    <xf numFmtId="0" fontId="14" fillId="57" borderId="19" xfId="81" applyFont="1" applyFill="1" applyBorder="1" applyAlignment="1">
      <alignment horizontal="left" vertical="top" wrapText="1"/>
    </xf>
    <xf numFmtId="0" fontId="14" fillId="57" borderId="20" xfId="81" applyFont="1" applyFill="1" applyBorder="1" applyAlignment="1">
      <alignment horizontal="left" vertical="top" wrapText="1"/>
    </xf>
  </cellXfs>
  <cellStyles count="85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7 3" xfId="84" xr:uid="{2E9D27FE-F7EE-45B4-A208-B7F4F6271CE6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CCFF"/>
      <color rgb="FFFFFF99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6</xdr:row>
      <xdr:rowOff>173304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zoomScale="80" zoomScaleNormal="80" workbookViewId="0"/>
  </sheetViews>
  <sheetFormatPr defaultColWidth="0" defaultRowHeight="13.5" customHeight="1" zeroHeight="1"/>
  <cols>
    <col min="1" max="1" width="9.6328125" style="314" customWidth="1"/>
    <col min="2" max="2" width="29.7265625" style="314" customWidth="1"/>
    <col min="3" max="3" width="18.7265625" style="314" customWidth="1"/>
    <col min="4" max="4" width="25" style="314" customWidth="1"/>
    <col min="5" max="5" width="68.08984375" style="314" customWidth="1"/>
    <col min="6" max="6" width="11.08984375" style="314" bestFit="1" customWidth="1"/>
    <col min="7" max="7" width="9.6328125" style="314" customWidth="1"/>
    <col min="8" max="8" width="4.81640625" style="314" customWidth="1"/>
    <col min="9" max="9" width="26" style="314" customWidth="1"/>
    <col min="10" max="13" width="0" style="314" hidden="1" customWidth="1"/>
    <col min="14" max="16384" width="9.6328125" style="314" hidden="1"/>
  </cols>
  <sheetData>
    <row r="1" spans="1:9" s="312" customFormat="1" ht="28" thickBot="1">
      <c r="A1" s="310" t="str">
        <f ca="1" xml:space="preserve"> RIGHT(CELL("filename", $A$1), LEN(CELL("filename", $A$1)) - SEARCH("]", CELL("filename", $A$1)))</f>
        <v xml:space="preserve">Cover </v>
      </c>
      <c r="B1" s="310"/>
      <c r="C1" s="311"/>
      <c r="D1" s="310"/>
      <c r="E1" s="310"/>
      <c r="F1" s="310"/>
      <c r="G1" s="310"/>
      <c r="H1" s="311"/>
      <c r="I1" s="311"/>
    </row>
    <row r="2" spans="1:9" ht="16.5" thickTop="1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6">
      <c r="A3" s="313"/>
      <c r="B3" s="315" t="s">
        <v>0</v>
      </c>
      <c r="C3" s="315" t="s">
        <v>1</v>
      </c>
      <c r="D3" s="313"/>
      <c r="E3" s="313"/>
      <c r="F3" s="313"/>
      <c r="G3" s="313"/>
      <c r="H3" s="313"/>
      <c r="I3" s="313"/>
    </row>
    <row r="4" spans="1:9" ht="16">
      <c r="A4" s="313"/>
      <c r="B4" s="315" t="s">
        <v>2</v>
      </c>
      <c r="C4" s="316">
        <v>2</v>
      </c>
      <c r="D4" s="313"/>
      <c r="E4" s="313"/>
      <c r="F4" s="313"/>
      <c r="G4" s="313"/>
      <c r="H4" s="313"/>
      <c r="I4" s="313"/>
    </row>
    <row r="5" spans="1:9" ht="16">
      <c r="A5" s="313"/>
      <c r="B5" s="315" t="s">
        <v>3</v>
      </c>
      <c r="C5" s="315" t="str">
        <f ca="1">MID(CELL("filename"), FIND("[", CELL("filename"), 1) + 1, FIND("]", CELL("filename"), 1) - FIND("[", CELL("filename"), 1) - 1)</f>
        <v>Past delivery tables.xlsx</v>
      </c>
      <c r="D5" s="313"/>
      <c r="E5" s="313"/>
      <c r="F5" s="313"/>
      <c r="G5" s="313"/>
      <c r="H5" s="313"/>
      <c r="I5" s="313"/>
    </row>
    <row r="6" spans="1:9" ht="16">
      <c r="A6" s="313"/>
      <c r="B6" s="315" t="s">
        <v>4</v>
      </c>
      <c r="C6" s="353" t="s">
        <v>5</v>
      </c>
      <c r="D6" s="313"/>
      <c r="E6" s="313"/>
      <c r="F6" s="313"/>
      <c r="G6" s="313"/>
      <c r="H6" s="313"/>
      <c r="I6" s="313"/>
    </row>
    <row r="7" spans="1:9" ht="16">
      <c r="A7" s="313"/>
      <c r="B7" s="315" t="s">
        <v>6</v>
      </c>
      <c r="C7" s="315" t="s">
        <v>7</v>
      </c>
      <c r="D7" s="313"/>
      <c r="E7" s="313"/>
      <c r="F7" s="313"/>
      <c r="G7" s="313"/>
      <c r="H7" s="313"/>
      <c r="I7" s="313"/>
    </row>
    <row r="8" spans="1:9" ht="16">
      <c r="A8" s="313"/>
      <c r="B8" s="315" t="s">
        <v>8</v>
      </c>
      <c r="C8" s="354" t="s">
        <v>9</v>
      </c>
      <c r="D8" s="313"/>
      <c r="E8" s="313"/>
      <c r="F8" s="313"/>
      <c r="G8" s="313"/>
      <c r="H8" s="313"/>
      <c r="I8" s="313"/>
    </row>
    <row r="9" spans="1:9" ht="16">
      <c r="A9" s="313"/>
      <c r="B9" s="313"/>
      <c r="C9" s="313"/>
      <c r="D9" s="313"/>
      <c r="E9" s="313"/>
      <c r="F9" s="313"/>
      <c r="G9" s="313"/>
      <c r="H9" s="313"/>
      <c r="I9" s="313"/>
    </row>
    <row r="10" spans="1:9" ht="14.5">
      <c r="A10" s="317"/>
      <c r="B10" s="317"/>
      <c r="C10" s="318"/>
      <c r="D10" s="317"/>
      <c r="E10" s="317"/>
      <c r="F10" s="317"/>
      <c r="G10" s="317"/>
      <c r="H10" s="317"/>
      <c r="I10" s="317"/>
    </row>
    <row r="11" spans="1:9" ht="14">
      <c r="A11" s="317"/>
      <c r="B11" s="317" t="s">
        <v>10</v>
      </c>
      <c r="C11" s="317" t="s">
        <v>11</v>
      </c>
      <c r="D11" s="317"/>
      <c r="E11" s="317"/>
      <c r="F11" s="317"/>
      <c r="G11" s="317"/>
      <c r="H11" s="317"/>
      <c r="I11" s="317"/>
    </row>
    <row r="12" spans="1:9" ht="14">
      <c r="A12" s="317"/>
      <c r="B12" s="317"/>
      <c r="C12" s="317"/>
      <c r="D12" s="317"/>
      <c r="E12" s="317"/>
      <c r="F12" s="317"/>
      <c r="G12" s="317"/>
      <c r="H12" s="317"/>
      <c r="I12" s="317"/>
    </row>
    <row r="13" spans="1:9" ht="14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9" ht="14">
      <c r="A14" s="317"/>
      <c r="B14" s="317"/>
      <c r="C14" s="317"/>
      <c r="D14" s="317"/>
      <c r="E14" s="317"/>
      <c r="F14" s="317"/>
      <c r="G14" s="317"/>
      <c r="H14" s="317"/>
      <c r="I14" s="317"/>
    </row>
    <row r="15" spans="1:9" ht="14">
      <c r="A15" s="317"/>
      <c r="B15" s="317"/>
      <c r="C15" s="317"/>
      <c r="D15" s="317"/>
      <c r="E15" s="317"/>
      <c r="F15" s="317"/>
      <c r="G15" s="317"/>
      <c r="H15" s="317"/>
      <c r="I15" s="317"/>
    </row>
    <row r="16" spans="1:9" ht="14">
      <c r="A16" s="317"/>
      <c r="B16" s="317"/>
      <c r="C16" s="317"/>
      <c r="D16" s="317"/>
      <c r="E16" s="317"/>
      <c r="F16" s="317"/>
      <c r="G16" s="317"/>
      <c r="H16" s="317"/>
      <c r="I16" s="317"/>
    </row>
    <row r="17" spans="1:9" ht="14">
      <c r="A17" s="317"/>
      <c r="B17" s="317" t="s">
        <v>12</v>
      </c>
      <c r="C17" s="317" t="s">
        <v>13</v>
      </c>
      <c r="D17" s="317"/>
      <c r="E17" s="317"/>
      <c r="F17" s="317"/>
      <c r="G17" s="317"/>
      <c r="H17" s="317"/>
      <c r="I17" s="317"/>
    </row>
    <row r="18" spans="1:9" ht="14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16">
      <c r="A19" s="317"/>
      <c r="B19" s="317" t="s">
        <v>14</v>
      </c>
      <c r="C19" s="317" t="s">
        <v>13</v>
      </c>
      <c r="D19" s="319"/>
      <c r="E19" s="319"/>
      <c r="F19" s="319"/>
      <c r="G19" s="317"/>
      <c r="H19" s="317"/>
      <c r="I19" s="317"/>
    </row>
    <row r="20" spans="1:9" ht="16">
      <c r="A20" s="317"/>
      <c r="B20" s="317"/>
      <c r="C20" s="319"/>
      <c r="D20" s="319"/>
      <c r="E20" s="319"/>
      <c r="F20" s="319"/>
      <c r="G20" s="317"/>
      <c r="H20" s="317"/>
      <c r="I20" s="317"/>
    </row>
    <row r="21" spans="1:9" ht="14">
      <c r="A21" s="317"/>
      <c r="B21" s="317"/>
      <c r="C21" s="320" t="s">
        <v>15</v>
      </c>
      <c r="D21" s="321"/>
      <c r="E21" s="322" t="s">
        <v>16</v>
      </c>
      <c r="F21" s="323" t="s">
        <v>17</v>
      </c>
      <c r="G21" s="317"/>
      <c r="H21" s="317"/>
      <c r="I21" s="317"/>
    </row>
    <row r="22" spans="1:9" ht="14">
      <c r="A22" s="317"/>
      <c r="B22" s="317"/>
      <c r="C22" s="355"/>
      <c r="D22" s="356"/>
      <c r="E22" s="324"/>
      <c r="F22" s="325"/>
      <c r="G22" s="317"/>
      <c r="H22" s="317"/>
      <c r="I22" s="317"/>
    </row>
    <row r="23" spans="1:9" ht="14">
      <c r="A23" s="317"/>
      <c r="B23" s="317"/>
      <c r="C23" s="317"/>
      <c r="D23" s="317"/>
      <c r="E23" s="317"/>
      <c r="F23" s="317"/>
      <c r="G23" s="317"/>
      <c r="H23" s="317"/>
      <c r="I23" s="317"/>
    </row>
    <row r="24" spans="1:9" ht="14">
      <c r="A24" s="317"/>
      <c r="B24" s="317"/>
      <c r="C24" s="317"/>
      <c r="D24" s="317"/>
      <c r="E24" s="317"/>
      <c r="F24" s="317"/>
      <c r="G24" s="317"/>
      <c r="H24" s="317"/>
      <c r="I24" s="317"/>
    </row>
    <row r="25" spans="1:9" ht="16">
      <c r="B25" s="317" t="s">
        <v>18</v>
      </c>
      <c r="C25" s="326" t="s">
        <v>19</v>
      </c>
      <c r="D25" s="319"/>
      <c r="E25" s="319"/>
      <c r="F25" s="319"/>
    </row>
    <row r="26" spans="1:9" ht="16">
      <c r="B26" s="327"/>
      <c r="C26" s="319"/>
      <c r="D26" s="319"/>
      <c r="E26" s="319"/>
      <c r="F26" s="319"/>
    </row>
    <row r="27" spans="1:9" ht="16">
      <c r="B27" s="327"/>
      <c r="C27" s="320" t="s">
        <v>20</v>
      </c>
      <c r="D27" s="322" t="s">
        <v>21</v>
      </c>
      <c r="E27" s="322" t="s">
        <v>22</v>
      </c>
      <c r="F27" s="323" t="s">
        <v>23</v>
      </c>
    </row>
    <row r="28" spans="1:9" ht="16">
      <c r="B28" s="327"/>
      <c r="C28" s="357" t="s">
        <v>24</v>
      </c>
      <c r="D28" s="357"/>
      <c r="E28" s="357" t="s">
        <v>25</v>
      </c>
      <c r="F28" s="328"/>
    </row>
    <row r="29" spans="1:9" ht="16">
      <c r="B29" s="327"/>
      <c r="C29" s="358"/>
      <c r="D29" s="358"/>
      <c r="E29" s="358"/>
      <c r="F29" s="329"/>
    </row>
    <row r="30" spans="1:9" ht="16">
      <c r="B30" s="327"/>
      <c r="C30" s="358"/>
      <c r="D30" s="358"/>
      <c r="E30" s="358"/>
      <c r="F30" s="329"/>
    </row>
    <row r="31" spans="1:9" ht="16">
      <c r="B31" s="327"/>
      <c r="C31" s="359"/>
      <c r="D31" s="359"/>
      <c r="E31" s="359"/>
      <c r="F31" s="330"/>
    </row>
    <row r="32" spans="1:9" ht="14"/>
    <row r="33" spans="1:9" ht="14"/>
    <row r="34" spans="1:9" ht="14"/>
    <row r="35" spans="1:9" ht="14">
      <c r="A35" s="331" t="s">
        <v>26</v>
      </c>
      <c r="B35" s="331"/>
      <c r="C35" s="331"/>
      <c r="D35" s="332"/>
      <c r="E35" s="333"/>
      <c r="F35" s="333"/>
      <c r="G35" s="333"/>
      <c r="H35" s="333"/>
      <c r="I35" s="333"/>
    </row>
    <row r="36" spans="1:9" ht="14"/>
    <row r="37" spans="1:9" ht="14"/>
    <row r="38" spans="1:9" ht="14"/>
    <row r="39" spans="1:9" ht="14" hidden="1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749BDDE5-6818-43EB-A298-16E403EDE06B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80" zoomScaleNormal="80" workbookViewId="0"/>
  </sheetViews>
  <sheetFormatPr defaultColWidth="0" defaultRowHeight="14.5" zeroHeight="1"/>
  <cols>
    <col min="1" max="4" width="1.08984375" customWidth="1"/>
    <col min="5" max="5" width="38.08984375" bestFit="1" customWidth="1"/>
    <col min="6" max="6" width="3" customWidth="1"/>
    <col min="7" max="7" width="45.6328125" bestFit="1" customWidth="1"/>
    <col min="8" max="8" width="11.08984375" customWidth="1"/>
    <col min="9" max="9" width="1.36328125" customWidth="1"/>
    <col min="10" max="16384" width="8.81640625" hidden="1"/>
  </cols>
  <sheetData>
    <row r="1" spans="1:9" ht="25">
      <c r="A1" s="70" t="str">
        <f ca="1" xml:space="preserve"> RIGHT(CELL("filename", $A$1), LEN(CELL("filename", $A$1)) - SEARCH("]", CELL("filename", $A$1)))</f>
        <v>Model formatting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27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28</v>
      </c>
      <c r="F6" s="27"/>
      <c r="G6" s="27" t="s">
        <v>29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30</v>
      </c>
      <c r="F8" s="27"/>
      <c r="G8" s="27" t="s">
        <v>31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32</v>
      </c>
      <c r="F10" s="27"/>
      <c r="G10" s="27" t="s">
        <v>33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34</v>
      </c>
      <c r="F12" s="27"/>
      <c r="G12" s="27" t="s">
        <v>35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36</v>
      </c>
      <c r="F14" s="27"/>
      <c r="G14" s="27" t="s">
        <v>37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38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39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40</v>
      </c>
      <c r="F20" s="27"/>
      <c r="G20" s="26" t="s">
        <v>41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42</v>
      </c>
      <c r="F22" s="27"/>
      <c r="G22" s="26" t="s">
        <v>43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44</v>
      </c>
      <c r="F24" s="27"/>
      <c r="G24" s="25" t="s">
        <v>45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46</v>
      </c>
      <c r="F26" s="27"/>
      <c r="G26" s="25" t="s">
        <v>47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48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49</v>
      </c>
      <c r="F29" s="27"/>
      <c r="G29" s="26" t="s">
        <v>50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51</v>
      </c>
      <c r="F31" s="27"/>
      <c r="G31" s="26" t="s">
        <v>52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53</v>
      </c>
      <c r="F33" s="27"/>
      <c r="G33" s="26" t="s">
        <v>54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55</v>
      </c>
      <c r="F35" s="27"/>
      <c r="G35" s="26" t="s">
        <v>56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57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58</v>
      </c>
      <c r="F38" s="27"/>
      <c r="G38" s="26" t="s">
        <v>59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60</v>
      </c>
      <c r="F40" s="26"/>
      <c r="G40" s="27" t="s">
        <v>61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62</v>
      </c>
      <c r="F42" s="27"/>
      <c r="G42" s="26" t="s">
        <v>63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64</v>
      </c>
      <c r="F44" s="27"/>
      <c r="G44" s="26" t="s">
        <v>65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66</v>
      </c>
      <c r="F46" s="27"/>
      <c r="G46" s="26" t="s">
        <v>67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68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69</v>
      </c>
      <c r="F49" s="27"/>
      <c r="G49" s="26" t="s">
        <v>70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71</v>
      </c>
      <c r="F51" s="27"/>
      <c r="G51" s="26" t="s">
        <v>72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73</v>
      </c>
      <c r="F53" s="27"/>
      <c r="G53" s="26" t="s">
        <v>74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75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76</v>
      </c>
      <c r="G58" s="27" t="s">
        <v>77</v>
      </c>
    </row>
    <row r="59" spans="1:9">
      <c r="E59" t="s">
        <v>78</v>
      </c>
      <c r="G59" s="27" t="s">
        <v>79</v>
      </c>
    </row>
    <row r="60" spans="1:9">
      <c r="E60" t="s">
        <v>80</v>
      </c>
      <c r="G60" s="27" t="s">
        <v>81</v>
      </c>
    </row>
    <row r="61" spans="1:9"/>
    <row r="62" spans="1:9" s="110" customFormat="1">
      <c r="A62" s="109" t="s">
        <v>82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80" zoomScaleNormal="80" workbookViewId="0"/>
  </sheetViews>
  <sheetFormatPr defaultColWidth="0" defaultRowHeight="14.5" zeroHeight="1"/>
  <cols>
    <col min="1" max="1" width="8.81640625" customWidth="1"/>
    <col min="2" max="2" width="30.08984375" customWidth="1"/>
    <col min="3" max="3" width="8.81640625" customWidth="1"/>
    <col min="4" max="4" width="30.08984375" customWidth="1"/>
    <col min="5" max="5" width="8.81640625" customWidth="1"/>
    <col min="6" max="6" width="30.08984375" customWidth="1"/>
    <col min="7" max="7" width="8.81640625" customWidth="1"/>
    <col min="8" max="8" width="30.08984375" customWidth="1"/>
    <col min="9" max="9" width="8.81640625" customWidth="1"/>
    <col min="10" max="16384" width="8.81640625" hidden="1"/>
  </cols>
  <sheetData>
    <row r="1" spans="1:9" ht="25">
      <c r="A1" s="70" t="str">
        <f ca="1" xml:space="preserve"> RIGHT(CELL("filename", $A$1), LEN(CELL("filename", $A$1)) - SEARCH("]", CELL("filename", $A$1)))</f>
        <v>ToC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83</v>
      </c>
      <c r="D3" t="s">
        <v>84</v>
      </c>
      <c r="F3" t="s">
        <v>85</v>
      </c>
      <c r="H3" t="s">
        <v>86</v>
      </c>
    </row>
    <row r="4" spans="1:9"/>
    <row r="5" spans="1:9">
      <c r="B5" s="293" t="str">
        <f ca="1" xml:space="preserve"> 'Model formatting'!A1</f>
        <v>Model formatting</v>
      </c>
      <c r="D5" s="292" t="str">
        <f ca="1" xml:space="preserve"> InputsR!A1</f>
        <v>InputsR</v>
      </c>
      <c r="F5" s="293" t="str">
        <f ca="1" xml:space="preserve"> Time!A1</f>
        <v>Time</v>
      </c>
      <c r="H5" s="262" t="str">
        <f ca="1" xml:space="preserve"> Outputs!A1</f>
        <v>Outputs</v>
      </c>
    </row>
    <row r="6" spans="1:9">
      <c r="B6" t="s">
        <v>87</v>
      </c>
      <c r="D6" s="108" t="s">
        <v>88</v>
      </c>
      <c r="F6" s="108" t="s">
        <v>89</v>
      </c>
      <c r="H6" t="s">
        <v>90</v>
      </c>
    </row>
    <row r="7" spans="1:9">
      <c r="F7" s="108"/>
    </row>
    <row r="8" spans="1:9">
      <c r="B8" s="293" t="str">
        <f ca="1" xml:space="preserve"> A1</f>
        <v>ToC</v>
      </c>
      <c r="D8" s="292" t="str">
        <f ca="1" xml:space="preserve"> InputsC!A1</f>
        <v>InputsC</v>
      </c>
      <c r="F8" s="293" t="str">
        <f ca="1" xml:space="preserve"> Index!A1</f>
        <v>Index</v>
      </c>
    </row>
    <row r="9" spans="1:9">
      <c r="B9" t="s">
        <v>91</v>
      </c>
      <c r="D9" s="108" t="s">
        <v>92</v>
      </c>
      <c r="F9" s="108" t="s">
        <v>93</v>
      </c>
    </row>
    <row r="10" spans="1:9"/>
    <row r="11" spans="1:9">
      <c r="F11" s="293" t="str">
        <f ca="1" xml:space="preserve"> Calc!A1</f>
        <v>Calc</v>
      </c>
    </row>
    <row r="12" spans="1:9">
      <c r="F12" s="108" t="s">
        <v>94</v>
      </c>
    </row>
    <row r="13" spans="1:9">
      <c r="F13" t="s">
        <v>95</v>
      </c>
    </row>
    <row r="14" spans="1:9"/>
    <row r="15" spans="1:9">
      <c r="D15" s="108"/>
    </row>
    <row r="16" spans="1:9"/>
    <row r="17" spans="1:9">
      <c r="A17" s="109" t="s">
        <v>82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tabSelected="1" zoomScale="80" zoomScaleNormal="80" workbookViewId="0">
      <pane xSplit="9" ySplit="5" topLeftCell="J6" activePane="bottomRight" state="frozen"/>
      <selection pane="topRight"/>
      <selection pane="bottomLeft"/>
      <selection pane="bottomRight" activeCell="P19" sqref="P19"/>
    </sheetView>
  </sheetViews>
  <sheetFormatPr defaultColWidth="0" defaultRowHeight="13"/>
  <cols>
    <col min="1" max="4" width="1.08984375" style="19" customWidth="1"/>
    <col min="5" max="5" width="60.6328125" style="19" bestFit="1" customWidth="1"/>
    <col min="6" max="6" width="11.81640625" style="19" customWidth="1"/>
    <col min="7" max="8" width="11.08984375" style="19" customWidth="1"/>
    <col min="9" max="9" width="1.36328125" style="19" customWidth="1"/>
    <col min="10" max="18" width="11.81640625" style="19" customWidth="1"/>
    <col min="19" max="20" width="12.6328125" style="1" hidden="1" customWidth="1"/>
    <col min="21" max="29" width="11.6328125" style="1" hidden="1" customWidth="1"/>
    <col min="30" max="16384" width="9.36328125" style="1" hidden="1"/>
  </cols>
  <sheetData>
    <row r="1" spans="1:21" s="71" customFormat="1" ht="25">
      <c r="A1" s="70" t="str">
        <f ca="1" xml:space="preserve"> RIGHT(CELL("filename", A1), LEN(CELL("filename", A1)) - SEARCH("]", CELL("filename", A1)))</f>
        <v>InputsR</v>
      </c>
      <c r="C1" s="72"/>
      <c r="E1" s="73"/>
    </row>
    <row r="2" spans="1:21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21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21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21" s="112" customFormat="1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21" s="112" customFormat="1" ht="12.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1" s="112" customFormat="1">
      <c r="A7" s="176" t="s">
        <v>99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21" s="112" customFormat="1" ht="12.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1" s="112" customFormat="1" ht="12.5">
      <c r="A9" s="111"/>
      <c r="B9" s="111"/>
      <c r="C9" s="111"/>
      <c r="D9" s="111"/>
      <c r="E9" s="111" t="s">
        <v>100</v>
      </c>
      <c r="F9" s="280"/>
      <c r="G9" s="280" t="s">
        <v>80</v>
      </c>
      <c r="H9" s="281">
        <f xml:space="preserve"> SUM( N9:R9 )</f>
        <v>371100</v>
      </c>
      <c r="I9" s="280"/>
      <c r="J9" s="280"/>
      <c r="K9" s="280"/>
      <c r="L9" s="280"/>
      <c r="M9" s="280"/>
      <c r="N9" s="282">
        <v>72700</v>
      </c>
      <c r="O9" s="282">
        <v>73500</v>
      </c>
      <c r="P9" s="282">
        <v>74200</v>
      </c>
      <c r="Q9" s="282">
        <v>75000</v>
      </c>
      <c r="R9" s="282">
        <v>75700</v>
      </c>
      <c r="S9" s="282">
        <v>75700</v>
      </c>
    </row>
    <row r="10" spans="1:21" s="112" customFormat="1" ht="12.5">
      <c r="A10" s="111"/>
      <c r="B10" s="111"/>
      <c r="C10" s="111"/>
      <c r="D10" s="111"/>
      <c r="E10" s="111"/>
      <c r="F10" s="280"/>
      <c r="G10" s="280"/>
      <c r="H10" s="280"/>
      <c r="I10" s="280"/>
      <c r="J10" s="280"/>
      <c r="K10" s="280"/>
      <c r="L10" s="280"/>
      <c r="M10" s="280"/>
      <c r="N10" s="283"/>
      <c r="O10" s="283"/>
      <c r="P10" s="283"/>
      <c r="Q10" s="283"/>
      <c r="R10" s="283"/>
      <c r="S10" s="283"/>
    </row>
    <row r="11" spans="1:21" s="112" customFormat="1">
      <c r="A11" s="111"/>
      <c r="B11" s="111"/>
      <c r="C11" s="111"/>
      <c r="D11" s="111"/>
      <c r="E11" s="111" t="s">
        <v>101</v>
      </c>
      <c r="F11" s="280"/>
      <c r="G11" s="280" t="s">
        <v>102</v>
      </c>
      <c r="H11" s="203">
        <f xml:space="preserve"> SUM( N11:R11 )</f>
        <v>355</v>
      </c>
      <c r="I11" s="280"/>
      <c r="J11" s="280"/>
      <c r="K11" s="280"/>
      <c r="L11" s="280"/>
      <c r="M11" s="280"/>
      <c r="N11" s="341">
        <v>70</v>
      </c>
      <c r="O11" s="341">
        <v>73.5</v>
      </c>
      <c r="P11" s="341">
        <v>69.8</v>
      </c>
      <c r="Q11" s="344">
        <v>71.099999999999994</v>
      </c>
      <c r="R11" s="341">
        <v>70.599999999999994</v>
      </c>
      <c r="S11" s="282">
        <v>70.599999999999994</v>
      </c>
    </row>
    <row r="12" spans="1:21" s="112" customFormat="1" ht="12.5">
      <c r="A12" s="111"/>
      <c r="B12" s="111"/>
      <c r="C12" s="111"/>
      <c r="D12" s="111"/>
      <c r="E12" s="111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</row>
    <row r="13" spans="1:21" s="241" customFormat="1" ht="15" customHeight="1">
      <c r="A13" s="176" t="s">
        <v>103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240"/>
      <c r="U13" s="240"/>
    </row>
    <row r="14" spans="1:21" customFormat="1" ht="15" customHeight="1"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</row>
    <row r="15" spans="1:21" s="258" customFormat="1" ht="15" customHeight="1">
      <c r="A15" s="347"/>
      <c r="B15" s="347"/>
      <c r="C15" s="347"/>
      <c r="D15" s="347"/>
      <c r="E15" s="117" t="s">
        <v>104</v>
      </c>
      <c r="F15" s="285">
        <v>46.548000000000002</v>
      </c>
      <c r="G15" s="348" t="s">
        <v>105</v>
      </c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7"/>
      <c r="U15" s="347"/>
    </row>
    <row r="16" spans="1:21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126" customFormat="1" ht="15" customHeight="1">
      <c r="A17" s="25"/>
      <c r="B17" s="25"/>
      <c r="C17" s="25"/>
      <c r="D17" s="25"/>
      <c r="E17" s="25" t="s">
        <v>106</v>
      </c>
      <c r="F17" s="25"/>
      <c r="G17" s="242" t="s">
        <v>107</v>
      </c>
      <c r="H17" s="203">
        <f xml:space="preserve"> SUM( N17:R17 )</f>
        <v>131.43710660345411</v>
      </c>
      <c r="I17" s="25"/>
      <c r="J17" s="25"/>
      <c r="K17" s="25"/>
      <c r="L17" s="25"/>
      <c r="M17" s="25"/>
      <c r="N17" s="341">
        <v>23.343</v>
      </c>
      <c r="O17" s="341">
        <v>19.764999999999997</v>
      </c>
      <c r="P17" s="341">
        <v>24.4</v>
      </c>
      <c r="Q17" s="344">
        <v>32.871000000000002</v>
      </c>
      <c r="R17" s="341">
        <v>31.058106603454121</v>
      </c>
      <c r="S17" s="341">
        <v>31.058106603454121</v>
      </c>
      <c r="T17" s="25"/>
    </row>
    <row r="18" spans="1:21" customFormat="1" ht="15" customHeight="1">
      <c r="E18" s="150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</row>
    <row r="19" spans="1:21" s="126" customFormat="1" ht="15" customHeight="1">
      <c r="A19" s="25"/>
      <c r="B19" s="25"/>
      <c r="C19" s="25"/>
      <c r="D19" s="25"/>
      <c r="E19" s="167" t="s">
        <v>108</v>
      </c>
      <c r="F19" s="25"/>
      <c r="G19" s="242" t="s">
        <v>107</v>
      </c>
      <c r="H19" s="203">
        <f xml:space="preserve"> SUM( N19:R19 )</f>
        <v>113.38557475325786</v>
      </c>
      <c r="I19" s="25"/>
      <c r="J19" s="25"/>
      <c r="K19" s="25"/>
      <c r="L19" s="25"/>
      <c r="M19" s="25"/>
      <c r="N19" s="341">
        <v>20.513658716927772</v>
      </c>
      <c r="O19" s="341">
        <v>20.739393613400154</v>
      </c>
      <c r="P19" s="344">
        <v>23.657561508748501</v>
      </c>
      <c r="Q19" s="344">
        <v>24.135191729499699</v>
      </c>
      <c r="R19" s="344">
        <v>24.339769184681732</v>
      </c>
      <c r="S19" s="342">
        <v>24.339769184681732</v>
      </c>
      <c r="T19" s="25"/>
    </row>
    <row r="20" spans="1:21" s="126" customFormat="1" ht="15" customHeight="1">
      <c r="A20" s="25"/>
      <c r="B20" s="25"/>
      <c r="C20" s="25"/>
      <c r="D20" s="213"/>
      <c r="E20" s="25"/>
      <c r="F20" s="25"/>
      <c r="G20" s="242"/>
      <c r="H20" s="286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03"/>
      <c r="T20" s="25"/>
    </row>
    <row r="21" spans="1:21" s="243" customFormat="1" ht="15" customHeight="1">
      <c r="A21" s="25"/>
      <c r="B21" s="25"/>
      <c r="C21" s="25"/>
      <c r="D21" s="25"/>
      <c r="E21" s="25" t="s">
        <v>109</v>
      </c>
      <c r="F21" s="25"/>
      <c r="G21" s="242" t="s">
        <v>107</v>
      </c>
      <c r="H21" s="203">
        <f xml:space="preserve"> SUM( N21:R21 )</f>
        <v>2.611E-3</v>
      </c>
      <c r="I21" s="25"/>
      <c r="J21" s="25"/>
      <c r="K21" s="25"/>
      <c r="L21" s="25"/>
      <c r="M21" s="25"/>
      <c r="N21" s="341">
        <v>2.611E-3</v>
      </c>
      <c r="O21" s="341">
        <v>0</v>
      </c>
      <c r="P21" s="341">
        <v>0</v>
      </c>
      <c r="Q21" s="341">
        <v>0</v>
      </c>
      <c r="R21" s="341">
        <v>0</v>
      </c>
      <c r="S21" s="341">
        <v>0</v>
      </c>
      <c r="T21" s="25"/>
      <c r="U21" s="126"/>
    </row>
    <row r="22" spans="1:21" s="126" customFormat="1" ht="15" customHeight="1">
      <c r="A22" s="25"/>
      <c r="B22" s="25"/>
      <c r="C22" s="25"/>
      <c r="D22" s="213"/>
      <c r="E22" s="25"/>
      <c r="F22" s="25"/>
      <c r="G22" s="242"/>
      <c r="H22" s="286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03"/>
      <c r="T22" s="25"/>
    </row>
    <row r="23" spans="1:21" s="112" customFormat="1" ht="12.5">
      <c r="A23" s="111"/>
      <c r="B23" s="111"/>
      <c r="C23" s="111"/>
      <c r="D23" s="111"/>
      <c r="E23" s="111" t="s">
        <v>110</v>
      </c>
      <c r="F23" s="287">
        <v>3.1199800000000003E-2</v>
      </c>
      <c r="G23" s="288" t="s">
        <v>111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</row>
    <row r="24" spans="1:21" customFormat="1" ht="14.5"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</row>
    <row r="25" spans="1:21" customFormat="1" ht="14.5">
      <c r="A25" s="176" t="s">
        <v>112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1:21" customFormat="1" ht="14.5"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</row>
    <row r="27" spans="1:21" customFormat="1" ht="14.5">
      <c r="E27" s="111" t="s">
        <v>113</v>
      </c>
      <c r="F27" s="287">
        <v>0.1</v>
      </c>
      <c r="G27" s="288" t="s">
        <v>111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</row>
    <row r="28" spans="1:21" customFormat="1" ht="14.5">
      <c r="E28" s="111"/>
      <c r="F28" s="284"/>
      <c r="G28" s="28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</row>
    <row r="29" spans="1:21" customFormat="1" ht="14.5">
      <c r="E29" s="111" t="s">
        <v>114</v>
      </c>
      <c r="F29" s="287">
        <v>0.06</v>
      </c>
      <c r="G29" s="288" t="s">
        <v>111</v>
      </c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</row>
    <row r="30" spans="1:21" s="112" customFormat="1" ht="12.5">
      <c r="A30" s="111"/>
      <c r="B30" s="111"/>
      <c r="C30" s="111"/>
      <c r="D30" s="111"/>
      <c r="E30" s="111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</row>
    <row r="31" spans="1:21" s="112" customFormat="1">
      <c r="A31" s="176" t="s">
        <v>115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1:21" s="112" customFormat="1" ht="12.5">
      <c r="A32" s="111"/>
      <c r="B32" s="111"/>
      <c r="C32" s="111"/>
      <c r="D32" s="111"/>
      <c r="E32" s="111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</row>
    <row r="33" spans="1:25" s="111" customFormat="1" ht="12.5">
      <c r="E33" s="111" t="s">
        <v>116</v>
      </c>
      <c r="F33" s="280"/>
      <c r="G33" s="280" t="s">
        <v>117</v>
      </c>
      <c r="H33" s="280"/>
      <c r="I33" s="280"/>
      <c r="J33" s="298">
        <v>101.8</v>
      </c>
      <c r="K33" s="298">
        <v>104.7</v>
      </c>
      <c r="L33" s="298">
        <v>106.9</v>
      </c>
      <c r="M33" s="298">
        <v>108.5</v>
      </c>
      <c r="N33" s="298">
        <v>109.1</v>
      </c>
      <c r="O33" s="298">
        <v>114.1</v>
      </c>
      <c r="P33" s="298">
        <v>124.8</v>
      </c>
      <c r="Q33" s="346">
        <v>130</v>
      </c>
      <c r="R33" s="298"/>
      <c r="S33" s="298">
        <v>135.4</v>
      </c>
    </row>
    <row r="34" spans="1:25" s="111" customFormat="1" ht="14.5">
      <c r="F34" s="280"/>
      <c r="G34" s="280"/>
      <c r="H34" s="280"/>
      <c r="I34" s="280"/>
      <c r="J34" s="284"/>
      <c r="K34" s="284"/>
      <c r="L34" s="284"/>
      <c r="M34" s="284"/>
      <c r="N34" s="284"/>
      <c r="O34" s="284"/>
      <c r="P34" s="284"/>
      <c r="Q34" s="284"/>
      <c r="R34" s="284"/>
      <c r="S34" s="284"/>
    </row>
    <row r="35" spans="1:25" s="111" customFormat="1" ht="14.5">
      <c r="E35" s="111" t="s">
        <v>118</v>
      </c>
      <c r="F35" s="203">
        <f xml:space="preserve"> $J$33</f>
        <v>101.8</v>
      </c>
      <c r="G35" s="280" t="s">
        <v>117</v>
      </c>
      <c r="H35" s="280"/>
      <c r="I35" s="280"/>
      <c r="J35" s="284"/>
      <c r="K35" s="284"/>
      <c r="L35" s="284"/>
      <c r="M35" s="284"/>
      <c r="N35" s="284"/>
      <c r="O35" s="284"/>
      <c r="P35" s="284"/>
      <c r="Q35" s="284"/>
      <c r="R35" s="284"/>
      <c r="S35" s="284"/>
    </row>
    <row r="36" spans="1:25" customFormat="1" ht="14.5"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</row>
    <row r="37" spans="1:25" s="111" customFormat="1" ht="14.5">
      <c r="E37" s="111" t="s">
        <v>119</v>
      </c>
      <c r="F37" s="345">
        <v>0.02</v>
      </c>
      <c r="G37" s="280"/>
      <c r="H37" s="280"/>
      <c r="I37" s="280"/>
      <c r="J37" s="284"/>
      <c r="K37" s="284"/>
      <c r="L37" s="284"/>
      <c r="M37" s="284"/>
      <c r="N37" s="284"/>
      <c r="O37" s="284"/>
      <c r="P37" s="284"/>
      <c r="Q37" s="284"/>
      <c r="R37" s="284"/>
      <c r="S37" s="284"/>
    </row>
    <row r="38" spans="1:25" customFormat="1" ht="14.5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7" customFormat="1" ht="14">
      <c r="A39" s="109" t="s">
        <v>82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49"/>
      <c r="T39" s="349"/>
      <c r="U39" s="349"/>
      <c r="V39" s="349"/>
      <c r="W39" s="349"/>
      <c r="X39" s="349"/>
      <c r="Y39" s="349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3"/>
  </conditionalFormatting>
  <conditionalFormatting sqref="J3:R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4" zeroHeight="1"/>
  <cols>
    <col min="1" max="4" width="1.08984375" style="274" customWidth="1"/>
    <col min="5" max="5" width="56" style="274" customWidth="1"/>
    <col min="6" max="6" width="12.26953125" style="274" bestFit="1" customWidth="1"/>
    <col min="7" max="8" width="11.08984375" style="274" customWidth="1"/>
    <col min="9" max="9" width="1.36328125" style="274" customWidth="1"/>
    <col min="10" max="18" width="11.81640625" style="274" customWidth="1"/>
    <col min="19" max="16384" width="8.81640625" style="274" hidden="1"/>
  </cols>
  <sheetData>
    <row r="1" spans="1:18" ht="25">
      <c r="A1" s="70" t="str">
        <f ca="1" xml:space="preserve"> RIGHT(CELL("filename", A1), LEN(CELL("filename", A1)) - SEARCH("]", CELL("filename", A1)))</f>
        <v>InputsC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5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4.5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4.5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3">
      <c r="A7" s="176" t="s">
        <v>120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3">
      <c r="E8" s="14"/>
      <c r="F8" s="111"/>
      <c r="G8" s="111"/>
    </row>
    <row r="9" spans="1:18" s="117" customFormat="1" ht="12.5">
      <c r="E9" s="6" t="s">
        <v>121</v>
      </c>
      <c r="F9" s="294">
        <v>42461</v>
      </c>
      <c r="G9" s="111" t="s">
        <v>122</v>
      </c>
    </row>
    <row r="10" spans="1:18" s="117" customFormat="1" ht="12.5">
      <c r="E10" s="6"/>
      <c r="F10" s="6"/>
      <c r="G10" s="6"/>
    </row>
    <row r="11" spans="1:18" s="117" customFormat="1" ht="12.5">
      <c r="E11" s="6" t="s">
        <v>123</v>
      </c>
      <c r="F11" s="295">
        <v>2017</v>
      </c>
      <c r="G11" s="111" t="s">
        <v>124</v>
      </c>
    </row>
    <row r="12" spans="1:18" s="117" customFormat="1" ht="12.5">
      <c r="E12" s="6"/>
      <c r="F12" s="6"/>
      <c r="G12" s="111"/>
    </row>
    <row r="13" spans="1:18" s="117" customFormat="1" ht="12.5">
      <c r="E13" s="6" t="s">
        <v>125</v>
      </c>
      <c r="F13" s="295">
        <v>3</v>
      </c>
      <c r="G13" s="111" t="s">
        <v>126</v>
      </c>
    </row>
    <row r="14" spans="1:18" s="117" customFormat="1" ht="12.5">
      <c r="E14" s="6"/>
      <c r="F14" s="6"/>
      <c r="G14" s="111"/>
    </row>
    <row r="15" spans="1:18" s="117" customFormat="1" ht="12.5">
      <c r="E15" s="6" t="s">
        <v>127</v>
      </c>
      <c r="F15" s="294">
        <v>43921</v>
      </c>
      <c r="G15" s="111" t="s">
        <v>122</v>
      </c>
    </row>
    <row r="16" spans="1:18" s="117" customFormat="1" ht="12.5">
      <c r="E16" s="6"/>
      <c r="F16" s="6"/>
      <c r="G16" s="111"/>
    </row>
    <row r="17" spans="1:18" s="117" customFormat="1" ht="12.5">
      <c r="E17" s="6" t="s">
        <v>128</v>
      </c>
      <c r="F17" s="294">
        <v>45747</v>
      </c>
      <c r="G17" s="111" t="s">
        <v>122</v>
      </c>
    </row>
    <row r="18" spans="1:18" s="117" customFormat="1" ht="12.5">
      <c r="E18" s="111"/>
      <c r="F18" s="111"/>
      <c r="G18" s="111"/>
    </row>
    <row r="19" spans="1:18" s="117" customFormat="1" ht="13">
      <c r="A19" s="176" t="s">
        <v>129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3">
      <c r="E20" s="14"/>
    </row>
    <row r="21" spans="1:18" s="117" customFormat="1" ht="12.5">
      <c r="E21" s="5" t="s">
        <v>130</v>
      </c>
      <c r="F21" s="296">
        <v>1000000</v>
      </c>
      <c r="G21" s="111" t="s">
        <v>131</v>
      </c>
    </row>
    <row r="22" spans="1:18" s="117" customFormat="1" ht="12.5"/>
    <row r="23" spans="1:18" s="117" customFormat="1" ht="12.5">
      <c r="E23" s="5" t="s">
        <v>132</v>
      </c>
      <c r="F23" s="296">
        <v>1000</v>
      </c>
      <c r="G23" s="111" t="s">
        <v>131</v>
      </c>
    </row>
    <row r="24" spans="1:18" s="117" customFormat="1" ht="12.5"/>
    <row r="25" spans="1:18" s="117" customFormat="1" ht="12.5">
      <c r="E25" s="5" t="s">
        <v>133</v>
      </c>
      <c r="F25" s="297">
        <v>9.9999999999999995E-8</v>
      </c>
      <c r="G25" s="130" t="s">
        <v>134</v>
      </c>
    </row>
    <row r="26" spans="1:18" s="117" customFormat="1" ht="12.5"/>
    <row r="27" spans="1:18" s="279" customFormat="1" ht="13">
      <c r="A27" s="120" t="s">
        <v>82</v>
      </c>
    </row>
    <row r="28" spans="1:18">
      <c r="A28" s="347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</row>
    <row r="29" spans="1:18" ht="14.65" hidden="1" customHeight="1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</row>
    <row r="30" spans="1:18" ht="14.65" hidden="1" customHeight="1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</row>
    <row r="31" spans="1:18" ht="14.65" hidden="1" customHeight="1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</row>
    <row r="32" spans="1:18" ht="14.65" hidden="1" customHeight="1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</row>
    <row r="33" ht="14.65" hidden="1" customHeight="1"/>
    <row r="34" ht="14.65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4.5" zeroHeight="1"/>
  <cols>
    <col min="1" max="4" width="1.08984375" customWidth="1"/>
    <col min="5" max="5" width="56" customWidth="1"/>
    <col min="6" max="6" width="12.36328125" customWidth="1"/>
    <col min="7" max="8" width="11.08984375" customWidth="1"/>
    <col min="9" max="9" width="1.36328125" customWidth="1"/>
    <col min="10" max="18" width="11.81640625" customWidth="1"/>
    <col min="19" max="81" width="0" hidden="1" customWidth="1"/>
    <col min="82" max="16384" width="8.81640625" hidden="1"/>
  </cols>
  <sheetData>
    <row r="1" spans="1:23" s="71" customFormat="1" ht="25">
      <c r="A1" s="70" t="str">
        <f ca="1" xml:space="preserve"> RIGHT(CELL("filename", A1), LEN(CELL("filename", A1)) - SEARCH("]", CELL("filename", A1)))</f>
        <v>Time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2.5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2.5"/>
    <row r="7" spans="1:23" s="119" customFormat="1" ht="13">
      <c r="A7" s="23"/>
      <c r="B7" s="23" t="s">
        <v>135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3">
      <c r="A8" s="23"/>
      <c r="B8" s="23"/>
      <c r="C8" s="24"/>
      <c r="D8" s="25"/>
      <c r="E8" s="28" t="s">
        <v>136</v>
      </c>
      <c r="F8" s="28"/>
      <c r="G8" s="28" t="s">
        <v>137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3">
      <c r="A9" s="23"/>
      <c r="B9" s="23"/>
      <c r="C9" s="24"/>
      <c r="D9" s="25"/>
      <c r="E9" s="25" t="s">
        <v>138</v>
      </c>
      <c r="F9" s="30">
        <f xml:space="preserve"> MAX(L8:R8)</f>
        <v>9</v>
      </c>
      <c r="G9" s="25" t="s">
        <v>139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3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3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3">
      <c r="A12" s="35"/>
      <c r="B12" s="36"/>
      <c r="C12" s="37"/>
      <c r="D12" s="38"/>
      <c r="E12" s="21" t="s">
        <v>140</v>
      </c>
      <c r="G12" s="26" t="s">
        <v>141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3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3">
      <c r="A14" s="23"/>
      <c r="B14" s="23" t="s">
        <v>142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3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3">
      <c r="A16" s="23"/>
      <c r="B16" s="23"/>
      <c r="C16" s="24"/>
      <c r="D16" s="25"/>
      <c r="E16" s="21" t="s">
        <v>143</v>
      </c>
      <c r="F16" s="42">
        <f xml:space="preserve"> DATE(YEAR(F15), MONTH(F15), 1)</f>
        <v>42461</v>
      </c>
      <c r="G16" s="42" t="s">
        <v>144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3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3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3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3">
      <c r="A20" s="23"/>
      <c r="B20" s="23"/>
      <c r="C20" s="24"/>
      <c r="D20" s="25"/>
      <c r="E20" s="21" t="s">
        <v>145</v>
      </c>
      <c r="F20" s="46"/>
      <c r="G20" s="46" t="s">
        <v>122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3">
      <c r="A21" s="23"/>
      <c r="B21" s="23"/>
      <c r="C21" s="24"/>
      <c r="D21" s="25"/>
      <c r="E21" s="47" t="s">
        <v>146</v>
      </c>
      <c r="F21" s="186"/>
      <c r="G21" s="252" t="s">
        <v>122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3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3">
      <c r="A23" s="253" t="s">
        <v>147</v>
      </c>
      <c r="B23" s="48"/>
      <c r="C23" s="49"/>
      <c r="D23" s="50"/>
      <c r="E23" s="6"/>
    </row>
    <row r="24" spans="1:23" s="26" customFormat="1" ht="13">
      <c r="A24" s="51"/>
      <c r="B24" s="48"/>
      <c r="C24" s="49"/>
      <c r="D24" s="38"/>
      <c r="E24" s="21"/>
    </row>
    <row r="25" spans="1:23" s="26" customFormat="1" ht="13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3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3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3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3">
      <c r="A29" s="51"/>
      <c r="B29" s="48"/>
      <c r="C29" s="49"/>
      <c r="D29" s="38"/>
      <c r="E29" s="21" t="s">
        <v>148</v>
      </c>
      <c r="G29" s="26" t="s">
        <v>149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2.5"/>
    <row r="31" spans="1:23" s="8" customFormat="1" ht="13">
      <c r="A31" s="56" t="s">
        <v>150</v>
      </c>
      <c r="B31" s="53"/>
      <c r="C31" s="54"/>
      <c r="D31" s="57"/>
      <c r="E31" s="6"/>
    </row>
    <row r="32" spans="1:23" s="8" customFormat="1" ht="13">
      <c r="A32" s="56"/>
      <c r="B32" s="53"/>
      <c r="C32" s="54"/>
      <c r="D32" s="57"/>
      <c r="E32" s="6"/>
    </row>
    <row r="33" spans="1:81" s="40" customFormat="1" ht="13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3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3">
      <c r="A35" s="35"/>
      <c r="B35" s="36"/>
      <c r="C35" s="37"/>
      <c r="D35" s="38"/>
      <c r="E35" s="21" t="s">
        <v>128</v>
      </c>
      <c r="G35" s="26" t="s">
        <v>141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3">
      <c r="A36" s="35"/>
      <c r="B36" s="36"/>
      <c r="C36" s="37"/>
      <c r="D36" s="38"/>
      <c r="E36" s="21" t="s">
        <v>151</v>
      </c>
      <c r="G36" s="26" t="s">
        <v>141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3">
      <c r="A37" s="35"/>
      <c r="B37" s="48"/>
      <c r="C37" s="49"/>
      <c r="D37" s="50"/>
      <c r="E37" s="6" t="s">
        <v>152</v>
      </c>
      <c r="F37" s="65">
        <f xml:space="preserve"> SUM(J36:CC36)</f>
        <v>4</v>
      </c>
      <c r="G37" s="25" t="s">
        <v>139</v>
      </c>
    </row>
    <row r="38" spans="1:81" s="25" customFormat="1" ht="13">
      <c r="A38" s="35"/>
      <c r="B38" s="48"/>
      <c r="C38" s="49"/>
      <c r="D38" s="50"/>
      <c r="E38" s="6"/>
    </row>
    <row r="39" spans="1:81" s="25" customFormat="1" ht="13">
      <c r="A39" s="35" t="s">
        <v>153</v>
      </c>
      <c r="B39" s="48"/>
      <c r="C39" s="49"/>
      <c r="D39" s="50"/>
      <c r="E39" s="6"/>
    </row>
    <row r="40" spans="1:81" s="25" customFormat="1" ht="13">
      <c r="A40" s="35"/>
      <c r="B40" s="48"/>
      <c r="C40" s="49"/>
      <c r="D40" s="50"/>
      <c r="E40" s="6"/>
    </row>
    <row r="41" spans="1:81" s="26" customFormat="1" ht="13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3">
      <c r="A42" s="51"/>
      <c r="B42" s="48"/>
      <c r="C42" s="49"/>
      <c r="D42" s="38"/>
      <c r="E42" s="267" t="s">
        <v>154</v>
      </c>
      <c r="G42" s="26" t="s">
        <v>141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3">
      <c r="A43" s="51"/>
      <c r="B43" s="48"/>
      <c r="C43" s="49"/>
      <c r="D43" s="38"/>
      <c r="E43" s="21"/>
    </row>
    <row r="44" spans="1:81" s="40" customFormat="1" ht="13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3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3">
      <c r="A46" s="51"/>
      <c r="B46" s="48"/>
      <c r="C46" s="49"/>
      <c r="D46" s="38"/>
      <c r="E46" s="47" t="s">
        <v>155</v>
      </c>
      <c r="G46" s="26" t="s">
        <v>141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3">
      <c r="A47" s="51"/>
      <c r="B47" s="48"/>
      <c r="C47" s="49"/>
      <c r="D47" s="38"/>
      <c r="E47" s="6"/>
    </row>
    <row r="48" spans="1:81" s="26" customFormat="1" ht="13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3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3">
      <c r="A50" s="51"/>
      <c r="B50" s="48"/>
      <c r="C50" s="49"/>
      <c r="D50" s="38"/>
      <c r="E50" s="47" t="s">
        <v>156</v>
      </c>
      <c r="G50" s="68" t="s">
        <v>141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3">
      <c r="A51" s="35"/>
      <c r="B51" s="48"/>
      <c r="C51" s="49"/>
      <c r="D51" s="50"/>
      <c r="E51" s="6" t="s">
        <v>157</v>
      </c>
      <c r="F51" s="25">
        <f xml:space="preserve"> SUM(L50:CC50)</f>
        <v>5</v>
      </c>
      <c r="G51" s="25" t="s">
        <v>139</v>
      </c>
    </row>
    <row r="52" spans="1:81" s="25" customFormat="1" ht="13">
      <c r="A52" s="35"/>
      <c r="B52" s="48"/>
      <c r="C52" s="49"/>
      <c r="D52" s="50"/>
      <c r="E52" s="6"/>
    </row>
    <row r="53" spans="1:81" s="25" customFormat="1" ht="13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3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3">
      <c r="A55" s="35"/>
      <c r="B55" s="48"/>
      <c r="C55" s="49"/>
      <c r="D55" s="50"/>
      <c r="E55" s="47" t="s">
        <v>158</v>
      </c>
      <c r="F55" s="186"/>
      <c r="G55" s="186" t="s">
        <v>141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3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3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3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3">
      <c r="A59" s="263"/>
      <c r="B59" s="264"/>
      <c r="C59" s="265"/>
      <c r="D59" s="266"/>
      <c r="E59" s="267" t="s">
        <v>159</v>
      </c>
      <c r="F59" s="267"/>
      <c r="G59" s="267" t="s">
        <v>137</v>
      </c>
      <c r="H59" s="267"/>
      <c r="I59" s="267"/>
      <c r="J59" s="268">
        <f xml:space="preserve"> IF( J53 = 1,  J58, I59 + J58 )</f>
        <v>0</v>
      </c>
      <c r="K59" s="268">
        <f t="shared" ref="K59:R59" si="37" xml:space="preserve"> IF( K53 = 1,  K58, J59 + K58 )</f>
        <v>0</v>
      </c>
      <c r="L59" s="268">
        <f t="shared" si="37"/>
        <v>0</v>
      </c>
      <c r="M59" s="268">
        <f t="shared" si="37"/>
        <v>0</v>
      </c>
      <c r="N59" s="268">
        <f t="shared" si="37"/>
        <v>1</v>
      </c>
      <c r="O59" s="268">
        <f t="shared" si="37"/>
        <v>2</v>
      </c>
      <c r="P59" s="268">
        <f t="shared" si="37"/>
        <v>3</v>
      </c>
      <c r="Q59" s="268">
        <f t="shared" si="37"/>
        <v>4</v>
      </c>
      <c r="R59" s="268">
        <f t="shared" si="37"/>
        <v>5</v>
      </c>
    </row>
    <row r="60" spans="1:81" s="25" customFormat="1" ht="13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3">
      <c r="A61" s="35" t="s">
        <v>160</v>
      </c>
    </row>
    <row r="62" spans="1:81" s="117" customFormat="1" ht="12.5"/>
    <row r="63" spans="1:81" s="117" customFormat="1" ht="13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3">
      <c r="B64" s="122"/>
      <c r="C64" s="123"/>
      <c r="D64" s="124" t="s">
        <v>161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3">
      <c r="B65" s="122"/>
      <c r="C65" s="123"/>
      <c r="D65" s="124" t="s">
        <v>161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3">
      <c r="B66" s="122"/>
      <c r="C66" s="123"/>
      <c r="D66" s="125"/>
      <c r="E66" s="5" t="s">
        <v>162</v>
      </c>
      <c r="F66" s="121">
        <f xml:space="preserve"> IF(F63 - SUM(F64:F65) &lt;&gt; 0, 1, 0)</f>
        <v>0</v>
      </c>
      <c r="G66" s="126" t="s">
        <v>163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3">
      <c r="A68" s="127" t="s">
        <v>82</v>
      </c>
    </row>
    <row r="69" spans="1:7" s="117" customFormat="1" ht="12.5"/>
    <row r="70" spans="1:7" s="117" customFormat="1" ht="12.5" hidden="1"/>
    <row r="71" spans="1:7" s="117" customFormat="1" ht="12.5" hidden="1"/>
    <row r="72" spans="1:7" s="117" customFormat="1" ht="12.5" hidden="1"/>
    <row r="73" spans="1:7" s="117" customFormat="1" ht="12.5" hidden="1"/>
    <row r="74" spans="1:7" s="117" customFormat="1" ht="12.5" hidden="1"/>
    <row r="75" spans="1:7" s="117" customFormat="1" ht="12.5" hidden="1"/>
    <row r="76" spans="1:7" s="117" customFormat="1" ht="12.5" hidden="1"/>
    <row r="77" spans="1:7" s="117" customFormat="1" ht="12.5" hidden="1"/>
    <row r="78" spans="1:7" s="117" customFormat="1" ht="12.5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80" zoomScaleNormal="80" workbookViewId="0">
      <pane xSplit="9" ySplit="5" topLeftCell="J8" activePane="bottomRight" state="frozen"/>
      <selection pane="topRight"/>
      <selection pane="bottomLeft"/>
      <selection pane="bottomRight"/>
    </sheetView>
  </sheetViews>
  <sheetFormatPr defaultColWidth="0" defaultRowHeight="14.5" zeroHeight="1"/>
  <cols>
    <col min="1" max="4" width="1.08984375" customWidth="1"/>
    <col min="5" max="5" width="62.08984375" bestFit="1" customWidth="1"/>
    <col min="6" max="6" width="12.36328125" customWidth="1"/>
    <col min="7" max="8" width="11.08984375" customWidth="1"/>
    <col min="9" max="9" width="1.36328125" customWidth="1"/>
    <col min="10" max="17" width="11.81640625" customWidth="1"/>
    <col min="18" max="18" width="12" customWidth="1"/>
    <col min="19" max="16384" width="8.7265625" hidden="1"/>
  </cols>
  <sheetData>
    <row r="1" spans="1:21" s="71" customFormat="1" ht="25">
      <c r="A1" s="70" t="str">
        <f ca="1" xml:space="preserve"> RIGHT(CELL("FILENAME", $A$1), LEN(CELL("FILENAME", $A$1)) - SEARCH("]", CELL("FILENAME", $A$1)))</f>
        <v>Index</v>
      </c>
      <c r="C1" s="72"/>
      <c r="E1" s="73"/>
    </row>
    <row r="2" spans="1:21" s="137" customFormat="1">
      <c r="A2" s="138"/>
      <c r="B2" s="138"/>
      <c r="C2" s="139"/>
      <c r="D2" s="140"/>
      <c r="E2" s="141" t="s">
        <v>164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165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166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136</v>
      </c>
      <c r="F5" s="146" t="s">
        <v>96</v>
      </c>
      <c r="G5" s="147" t="s">
        <v>97</v>
      </c>
      <c r="H5" s="146" t="s">
        <v>98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</row>
    <row r="7" spans="1:21" s="168" customFormat="1" ht="15" customHeight="1">
      <c r="A7" s="176" t="s">
        <v>167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168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0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169</v>
      </c>
      <c r="F17" s="117"/>
      <c r="G17" s="117" t="s">
        <v>117</v>
      </c>
      <c r="H17" s="117"/>
      <c r="I17" s="136"/>
      <c r="J17" s="259">
        <f xml:space="preserve"> IF( J13 &gt; 0, J13, I17 * (1 + $F$15))</f>
        <v>101.8</v>
      </c>
      <c r="K17" s="259">
        <f t="shared" ref="K17:R17" si="0" xml:space="preserve"> IF( K13 &gt; 0, K13, J17 * (1 + $F$15))</f>
        <v>104.7</v>
      </c>
      <c r="L17" s="259">
        <f t="shared" si="0"/>
        <v>106.9</v>
      </c>
      <c r="M17" s="259">
        <f xml:space="preserve"> IF( M13 &gt; 0, M13, L17 * (1 + $F$15))</f>
        <v>108.5</v>
      </c>
      <c r="N17" s="259">
        <f t="shared" si="0"/>
        <v>109.1</v>
      </c>
      <c r="O17" s="259">
        <f t="shared" si="0"/>
        <v>114.1</v>
      </c>
      <c r="P17" s="259">
        <f t="shared" si="0"/>
        <v>124.8</v>
      </c>
      <c r="Q17" s="259">
        <f t="shared" si="0"/>
        <v>130</v>
      </c>
      <c r="R17" s="259">
        <f t="shared" si="0"/>
        <v>132.6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9" customFormat="1">
      <c r="A19" s="103"/>
      <c r="B19" s="103" t="s">
        <v>170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60" t="str">
        <f xml:space="preserve"> E$17</f>
        <v>CPIH: November - index</v>
      </c>
      <c r="F22" s="260">
        <f t="shared" ref="F22:R22" si="1" xml:space="preserve"> F$17</f>
        <v>0</v>
      </c>
      <c r="G22" s="260" t="str">
        <f t="shared" si="1"/>
        <v>index</v>
      </c>
      <c r="H22" s="260">
        <f t="shared" si="1"/>
        <v>0</v>
      </c>
      <c r="I22" s="260">
        <f t="shared" si="1"/>
        <v>0</v>
      </c>
      <c r="J22" s="260">
        <f xml:space="preserve"> J$17</f>
        <v>101.8</v>
      </c>
      <c r="K22" s="260">
        <f t="shared" si="1"/>
        <v>104.7</v>
      </c>
      <c r="L22" s="260">
        <f t="shared" si="1"/>
        <v>106.9</v>
      </c>
      <c r="M22" s="260">
        <f t="shared" si="1"/>
        <v>108.5</v>
      </c>
      <c r="N22" s="260">
        <f t="shared" si="1"/>
        <v>109.1</v>
      </c>
      <c r="O22" s="260">
        <f t="shared" si="1"/>
        <v>114.1</v>
      </c>
      <c r="P22" s="260">
        <f t="shared" si="1"/>
        <v>124.8</v>
      </c>
      <c r="Q22" s="260">
        <f t="shared" si="1"/>
        <v>130</v>
      </c>
      <c r="R22" s="260">
        <f t="shared" si="1"/>
        <v>132.6</v>
      </c>
    </row>
    <row r="23" spans="1:21" s="150" customFormat="1">
      <c r="A23" s="184"/>
      <c r="B23" s="184"/>
      <c r="C23" s="185"/>
      <c r="E23" s="183" t="s">
        <v>171</v>
      </c>
      <c r="F23" s="183"/>
      <c r="G23" s="183" t="s">
        <v>111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t="shared" si="2"/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172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173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="80" zoomScaleNormal="80" workbookViewId="0">
      <pane xSplit="9" ySplit="5" topLeftCell="O23" activePane="bottomRight" state="frozen"/>
      <selection pane="topRight"/>
      <selection pane="bottomLeft"/>
      <selection pane="bottomRight" activeCell="R32" sqref="R32"/>
    </sheetView>
  </sheetViews>
  <sheetFormatPr defaultColWidth="0" defaultRowHeight="14.5" zeroHeight="1" outlineLevelRow="1"/>
  <cols>
    <col min="1" max="1" width="1.08984375" style="10" customWidth="1"/>
    <col min="2" max="2" width="1.08984375" style="2" customWidth="1"/>
    <col min="3" max="3" width="1.08984375" style="3" customWidth="1"/>
    <col min="4" max="4" width="1.08984375" style="11" customWidth="1"/>
    <col min="5" max="5" width="87.6328125" style="12" bestFit="1" customWidth="1"/>
    <col min="6" max="6" width="14.08984375" style="12" customWidth="1"/>
    <col min="7" max="7" width="11.08984375" style="12" customWidth="1"/>
    <col min="8" max="8" width="12.6328125" style="12" customWidth="1"/>
    <col min="9" max="9" width="1.36328125" style="12" customWidth="1"/>
    <col min="10" max="16" width="12.36328125" style="12" customWidth="1"/>
    <col min="17" max="18" width="12.36328125" style="189" customWidth="1"/>
  </cols>
  <sheetData>
    <row r="1" spans="1:18" ht="25">
      <c r="A1" s="70" t="str">
        <f ca="1" xml:space="preserve"> RIGHT(CELL("filename", A1), LEN(CELL("filename", A1)) - SEARCH("]", CELL("filename", A1)))</f>
        <v>Calc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/>
      <c r="G2"/>
      <c r="H2"/>
      <c r="I2" s="117"/>
      <c r="J2" s="350">
        <f xml:space="preserve"> Time!J$21</f>
        <v>42825</v>
      </c>
      <c r="K2" s="350">
        <f xml:space="preserve"> Time!K$21</f>
        <v>43190</v>
      </c>
      <c r="L2" s="350">
        <f xml:space="preserve"> Time!L$21</f>
        <v>43555</v>
      </c>
      <c r="M2" s="350">
        <f xml:space="preserve"> Time!M$21</f>
        <v>43921</v>
      </c>
      <c r="N2" s="350">
        <f xml:space="preserve"> Time!N$21</f>
        <v>44286</v>
      </c>
      <c r="O2" s="350">
        <f xml:space="preserve"> Time!O$21</f>
        <v>44651</v>
      </c>
      <c r="P2" s="350">
        <f xml:space="preserve"> Time!P$21</f>
        <v>45016</v>
      </c>
      <c r="Q2" s="350">
        <f xml:space="preserve"> Time!Q$21</f>
        <v>45382</v>
      </c>
      <c r="R2" s="350">
        <f xml:space="preserve"> Time!R$21</f>
        <v>45747</v>
      </c>
    </row>
    <row r="3" spans="1:18">
      <c r="E3" s="117" t="str">
        <f xml:space="preserve"> Time!E$3</f>
        <v>Pre Forecast vs Forecast</v>
      </c>
      <c r="F3" s="347"/>
      <c r="G3" s="347"/>
      <c r="H3"/>
      <c r="I3" s="117"/>
      <c r="J3" s="347" t="str">
        <f xml:space="preserve"> Time!J55</f>
        <v>Pre Fcst</v>
      </c>
      <c r="K3" s="347" t="str">
        <f xml:space="preserve"> Time!K55</f>
        <v>Pre Fcst</v>
      </c>
      <c r="L3" s="347" t="str">
        <f xml:space="preserve"> Time!L55</f>
        <v>Pre Fcst</v>
      </c>
      <c r="M3" s="347" t="str">
        <f xml:space="preserve"> Time!M55</f>
        <v>Pre Fcst</v>
      </c>
      <c r="N3" s="347" t="str">
        <f xml:space="preserve"> Time!N55</f>
        <v>Forecast</v>
      </c>
      <c r="O3" s="347" t="str">
        <f xml:space="preserve"> Time!O55</f>
        <v>Forecast</v>
      </c>
      <c r="P3" s="347" t="str">
        <f xml:space="preserve"> Time!P55</f>
        <v>Forecast</v>
      </c>
      <c r="Q3" s="347" t="str">
        <f xml:space="preserve"> Time!Q55</f>
        <v>Forecast</v>
      </c>
      <c r="R3" s="347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174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9" customFormat="1" outlineLevel="1">
      <c r="A8" s="155"/>
      <c r="B8" s="155"/>
      <c r="C8" s="156"/>
      <c r="D8" s="159"/>
      <c r="E8" s="157"/>
      <c r="F8" s="157"/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9" customFormat="1" outlineLevel="1">
      <c r="A9" s="155"/>
      <c r="B9" s="155"/>
      <c r="C9" s="156"/>
      <c r="D9" s="159"/>
      <c r="E9" s="302" t="str">
        <f xml:space="preserve"> InputsR!E$11</f>
        <v>Actual volume of sludge (ATDS)</v>
      </c>
      <c r="F9" s="302">
        <f xml:space="preserve"> InputsR!F$11</f>
        <v>0</v>
      </c>
      <c r="G9" s="302" t="str">
        <f xml:space="preserve"> InputsR!G$11</f>
        <v>ttds</v>
      </c>
      <c r="H9" s="302">
        <f xml:space="preserve"> InputsR!H$11</f>
        <v>355</v>
      </c>
      <c r="I9" s="302">
        <f xml:space="preserve"> InputsR!I$11</f>
        <v>0</v>
      </c>
      <c r="J9" s="302">
        <f xml:space="preserve"> InputsR!J$11</f>
        <v>0</v>
      </c>
      <c r="K9" s="302">
        <f xml:space="preserve"> InputsR!K$11</f>
        <v>0</v>
      </c>
      <c r="L9" s="302">
        <f xml:space="preserve"> InputsR!L$11</f>
        <v>0</v>
      </c>
      <c r="M9" s="302">
        <f xml:space="preserve"> InputsR!M$11</f>
        <v>0</v>
      </c>
      <c r="N9" s="302">
        <f xml:space="preserve"> InputsR!N$11</f>
        <v>70</v>
      </c>
      <c r="O9" s="302">
        <f xml:space="preserve"> InputsR!O$11</f>
        <v>73.5</v>
      </c>
      <c r="P9" s="302">
        <f xml:space="preserve"> InputsR!P$11</f>
        <v>69.8</v>
      </c>
      <c r="Q9" s="302">
        <f xml:space="preserve"> InputsR!Q$11</f>
        <v>71.099999999999994</v>
      </c>
      <c r="R9" s="302">
        <f xml:space="preserve"> InputsR!R$11</f>
        <v>70.599999999999994</v>
      </c>
    </row>
    <row r="10" spans="1:18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00" customFormat="1" ht="14" outlineLevel="1">
      <c r="A11" s="155"/>
      <c r="B11" s="155"/>
      <c r="C11" s="156"/>
      <c r="D11" s="159"/>
      <c r="E11" s="157" t="s">
        <v>101</v>
      </c>
      <c r="F11" s="15"/>
      <c r="G11" s="157" t="s">
        <v>80</v>
      </c>
      <c r="H11" s="190">
        <f xml:space="preserve"> SUM( J11:R11 )</f>
        <v>355000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70000</v>
      </c>
      <c r="O11" s="190">
        <f t="shared" si="0"/>
        <v>73500</v>
      </c>
      <c r="P11" s="190">
        <f t="shared" si="0"/>
        <v>69800</v>
      </c>
      <c r="Q11" s="190">
        <f t="shared" si="0"/>
        <v>71100</v>
      </c>
      <c r="R11" s="190">
        <f t="shared" si="0"/>
        <v>70600</v>
      </c>
    </row>
    <row r="12" spans="1:18" s="300" customFormat="1" ht="14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00" customFormat="1" ht="14" outlineLevel="1">
      <c r="A13" s="155"/>
      <c r="B13" s="155"/>
      <c r="C13" s="156"/>
      <c r="D13" s="159"/>
      <c r="E13" s="15" t="str">
        <f xml:space="preserve"> InputsC!E$21</f>
        <v>Units in a million</v>
      </c>
      <c r="F13" s="302">
        <f xml:space="preserve"> InputsC!F$21</f>
        <v>1000000</v>
      </c>
      <c r="G13" s="302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8" customFormat="1" ht="14" outlineLevel="1">
      <c r="A14" s="2"/>
      <c r="B14" s="2"/>
      <c r="C14" s="3"/>
      <c r="D14" s="4"/>
      <c r="E14" s="301" t="str">
        <f xml:space="preserve"> InputsR!E$19</f>
        <v>Revised unadjusted revenue (URt) - 2017-18 FYA (CPIH deflated)</v>
      </c>
      <c r="F14" s="302">
        <f xml:space="preserve"> InputsR!F$19</f>
        <v>0</v>
      </c>
      <c r="G14" s="302" t="str">
        <f xml:space="preserve"> InputsR!G$19</f>
        <v>£m</v>
      </c>
      <c r="H14" s="303">
        <f xml:space="preserve"> InputsR!H$19</f>
        <v>113.38557475325786</v>
      </c>
      <c r="I14" s="302">
        <f xml:space="preserve"> InputsR!I$19</f>
        <v>0</v>
      </c>
      <c r="J14" s="302">
        <f xml:space="preserve"> InputsR!J$19</f>
        <v>0</v>
      </c>
      <c r="K14" s="302">
        <f xml:space="preserve"> InputsR!K$19</f>
        <v>0</v>
      </c>
      <c r="L14" s="302">
        <f xml:space="preserve"> InputsR!L$19</f>
        <v>0</v>
      </c>
      <c r="M14" s="302">
        <f xml:space="preserve"> InputsR!M$19</f>
        <v>0</v>
      </c>
      <c r="N14" s="303">
        <f xml:space="preserve"> InputsR!N$19</f>
        <v>20.513658716927772</v>
      </c>
      <c r="O14" s="303">
        <f xml:space="preserve"> InputsR!O$19</f>
        <v>20.739393613400154</v>
      </c>
      <c r="P14" s="303">
        <f xml:space="preserve"> InputsR!P$19</f>
        <v>23.657561508748501</v>
      </c>
      <c r="Q14" s="303">
        <f xml:space="preserve"> InputsR!Q$19</f>
        <v>24.135191729499699</v>
      </c>
      <c r="R14" s="303">
        <f xml:space="preserve"> InputsR!R$19</f>
        <v>24.339769184681732</v>
      </c>
    </row>
    <row r="15" spans="1:18" s="308" customFormat="1" ht="14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355000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70000</v>
      </c>
      <c r="O15" s="188">
        <f t="shared" si="1"/>
        <v>73500</v>
      </c>
      <c r="P15" s="188">
        <f t="shared" si="1"/>
        <v>69800</v>
      </c>
      <c r="Q15" s="188">
        <f t="shared" si="1"/>
        <v>71100</v>
      </c>
      <c r="R15" s="188">
        <f t="shared" si="1"/>
        <v>70600</v>
      </c>
    </row>
    <row r="16" spans="1:18" s="308" customFormat="1" ht="14" outlineLevel="1">
      <c r="A16" s="16"/>
      <c r="B16" s="16"/>
      <c r="C16" s="17"/>
      <c r="D16" s="158"/>
      <c r="E16" s="302" t="str">
        <f xml:space="preserve"> InputsR!E$9</f>
        <v>Forecast volume of sludge (FTDS)</v>
      </c>
      <c r="F16" s="302">
        <f xml:space="preserve"> InputsR!F$9</f>
        <v>0</v>
      </c>
      <c r="G16" s="302" t="str">
        <f xml:space="preserve"> InputsR!G$9</f>
        <v>TDS</v>
      </c>
      <c r="H16" s="302">
        <f xml:space="preserve"> InputsR!H$9</f>
        <v>371100</v>
      </c>
      <c r="I16" s="302">
        <f xml:space="preserve"> InputsR!I$9</f>
        <v>0</v>
      </c>
      <c r="J16" s="302">
        <f xml:space="preserve"> InputsR!J$9</f>
        <v>0</v>
      </c>
      <c r="K16" s="302">
        <f xml:space="preserve"> InputsR!K$9</f>
        <v>0</v>
      </c>
      <c r="L16" s="302">
        <f xml:space="preserve"> InputsR!L$9</f>
        <v>0</v>
      </c>
      <c r="M16" s="302">
        <f xml:space="preserve"> InputsR!M$9</f>
        <v>0</v>
      </c>
      <c r="N16" s="302">
        <f xml:space="preserve"> InputsR!N$9</f>
        <v>72700</v>
      </c>
      <c r="O16" s="302">
        <f xml:space="preserve"> InputsR!O$9</f>
        <v>73500</v>
      </c>
      <c r="P16" s="302">
        <f xml:space="preserve"> InputsR!P$9</f>
        <v>74200</v>
      </c>
      <c r="Q16" s="302">
        <f xml:space="preserve"> InputsR!Q$9</f>
        <v>75000</v>
      </c>
      <c r="R16" s="302">
        <f xml:space="preserve"> InputsR!R$9</f>
        <v>75700</v>
      </c>
    </row>
    <row r="17" spans="1:18" s="308" customFormat="1" ht="14" outlineLevel="1">
      <c r="A17" s="2"/>
      <c r="B17" s="2"/>
      <c r="C17" s="3"/>
      <c r="D17" s="4"/>
      <c r="E17" s="302" t="str">
        <f xml:space="preserve"> InputsR!E$15</f>
        <v>Variable revenue - 2017-18 FYA (CPIH deflated)</v>
      </c>
      <c r="F17" s="303">
        <f xml:space="preserve"> InputsR!F$15</f>
        <v>46.548000000000002</v>
      </c>
      <c r="G17" s="302" t="str">
        <f xml:space="preserve"> InputsR!G$15</f>
        <v>£/TDS</v>
      </c>
      <c r="H17" s="302">
        <f xml:space="preserve"> InputsR!H$15</f>
        <v>0</v>
      </c>
      <c r="I17" s="302">
        <f xml:space="preserve"> InputsR!I$15</f>
        <v>0</v>
      </c>
      <c r="J17" s="302">
        <f xml:space="preserve"> InputsR!J$15</f>
        <v>0</v>
      </c>
      <c r="K17" s="302">
        <f xml:space="preserve"> InputsR!K$15</f>
        <v>0</v>
      </c>
      <c r="L17" s="302">
        <f xml:space="preserve"> InputsR!L$15</f>
        <v>0</v>
      </c>
      <c r="M17" s="302">
        <f xml:space="preserve"> InputsR!M$15</f>
        <v>0</v>
      </c>
      <c r="N17" s="302">
        <f xml:space="preserve"> InputsR!N$15</f>
        <v>0</v>
      </c>
      <c r="O17" s="302">
        <f xml:space="preserve"> InputsR!O$15</f>
        <v>0</v>
      </c>
      <c r="P17" s="302">
        <f xml:space="preserve"> InputsR!P$15</f>
        <v>0</v>
      </c>
      <c r="Q17" s="302">
        <f xml:space="preserve"> InputsR!Q$15</f>
        <v>0</v>
      </c>
      <c r="R17" s="302">
        <f xml:space="preserve"> InputsR!R$15</f>
        <v>0</v>
      </c>
    </row>
    <row r="18" spans="1:18" s="308" customFormat="1" ht="14" outlineLevel="1">
      <c r="A18" s="111"/>
      <c r="B18" s="111"/>
      <c r="C18" s="111"/>
      <c r="D18" s="111"/>
      <c r="E18" s="111" t="s">
        <v>175</v>
      </c>
      <c r="F18" s="111"/>
      <c r="G18" s="111" t="s">
        <v>107</v>
      </c>
      <c r="H18" s="335">
        <f xml:space="preserve"> SUM( J18:R18 )</f>
        <v>112.63615195325787</v>
      </c>
      <c r="I18" s="335"/>
      <c r="J18" s="336">
        <f xml:space="preserve"> J14 + ( ( J15 - J16 ) * $F$17 ) / $F$13</f>
        <v>0</v>
      </c>
      <c r="K18" s="336">
        <f t="shared" ref="K18:R18" si="2" xml:space="preserve"> K14 + ( ( K15 - K16 ) * $F$17 ) / $F$13</f>
        <v>0</v>
      </c>
      <c r="L18" s="336">
        <f t="shared" si="2"/>
        <v>0</v>
      </c>
      <c r="M18" s="336">
        <f t="shared" si="2"/>
        <v>0</v>
      </c>
      <c r="N18" s="336">
        <f t="shared" si="2"/>
        <v>20.38797911692777</v>
      </c>
      <c r="O18" s="336">
        <f t="shared" si="2"/>
        <v>20.739393613400154</v>
      </c>
      <c r="P18" s="336">
        <f t="shared" si="2"/>
        <v>23.452750308748499</v>
      </c>
      <c r="Q18" s="336">
        <f t="shared" si="2"/>
        <v>23.953654529499698</v>
      </c>
      <c r="R18" s="336">
        <f t="shared" si="2"/>
        <v>24.102374384681731</v>
      </c>
    </row>
    <row r="19" spans="1:18" s="308" customFormat="1" ht="14" outlineLevel="1">
      <c r="A19" s="351"/>
      <c r="B19" s="351"/>
      <c r="C19" s="351"/>
      <c r="D19" s="351"/>
      <c r="E19" s="306"/>
      <c r="F19" s="337"/>
      <c r="G19" s="337"/>
      <c r="H19" s="337"/>
      <c r="I19" s="337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1:18" s="308" customFormat="1" ht="14" outlineLevel="1">
      <c r="A20" s="351"/>
      <c r="B20" s="351"/>
      <c r="C20" s="351"/>
      <c r="D20" s="351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112.63615195325787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20.38797911692777</v>
      </c>
      <c r="O20" s="111">
        <f t="shared" si="3"/>
        <v>20.739393613400154</v>
      </c>
      <c r="P20" s="111">
        <f t="shared" si="3"/>
        <v>23.452750308748499</v>
      </c>
      <c r="Q20" s="111">
        <f t="shared" si="3"/>
        <v>23.953654529499698</v>
      </c>
      <c r="R20" s="111">
        <f t="shared" si="3"/>
        <v>24.102374384681731</v>
      </c>
    </row>
    <row r="21" spans="1:18" s="308" customFormat="1" ht="14" outlineLevel="1">
      <c r="A21" s="351"/>
      <c r="B21" s="351"/>
      <c r="C21" s="351"/>
      <c r="D21" s="351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39" customFormat="1" ht="14" outlineLevel="1">
      <c r="E22" s="111" t="s">
        <v>176</v>
      </c>
      <c r="F22" s="111"/>
      <c r="G22" s="111" t="s">
        <v>107</v>
      </c>
      <c r="H22" s="111">
        <f xml:space="preserve"> SUM( J22:R22 )</f>
        <v>130.38749649240677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21.729820571578223</v>
      </c>
      <c r="O22" s="111">
        <f t="shared" si="4"/>
        <v>22.226599638722558</v>
      </c>
      <c r="P22" s="111">
        <f t="shared" si="4"/>
        <v>26.286432320512805</v>
      </c>
      <c r="Q22" s="111">
        <f t="shared" si="4"/>
        <v>29.365580405516326</v>
      </c>
      <c r="R22" s="111">
        <f t="shared" si="4"/>
        <v>30.779063556076867</v>
      </c>
    </row>
    <row r="23" spans="1:18" s="300" customFormat="1" ht="14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300" customFormat="1" ht="15" customHeight="1">
      <c r="A24" s="80" t="s">
        <v>177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34" t="str">
        <f t="shared" ref="E26:R26" si="5" xml:space="preserve"> E$22</f>
        <v>Modified revenue</v>
      </c>
      <c r="F26" s="334">
        <f t="shared" si="5"/>
        <v>0</v>
      </c>
      <c r="G26" s="334" t="str">
        <f t="shared" si="5"/>
        <v>£m</v>
      </c>
      <c r="H26" s="239">
        <f t="shared" si="5"/>
        <v>130.38749649240677</v>
      </c>
      <c r="I26" s="334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21.729820571578223</v>
      </c>
      <c r="O26" s="239">
        <f t="shared" si="5"/>
        <v>22.226599638722558</v>
      </c>
      <c r="P26" s="239">
        <f t="shared" si="5"/>
        <v>26.286432320512805</v>
      </c>
      <c r="Q26" s="239">
        <f t="shared" si="5"/>
        <v>29.365580405516326</v>
      </c>
      <c r="R26" s="239">
        <f t="shared" si="5"/>
        <v>30.779063556076867</v>
      </c>
    </row>
    <row r="27" spans="1:18" ht="15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1.2841953780956112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-1.8066946213911468</v>
      </c>
      <c r="Q27" s="175">
        <f t="shared" si="6"/>
        <v>2.9942833438520311</v>
      </c>
      <c r="R27" s="175">
        <f t="shared" si="6"/>
        <v>9.6606655634726951E-2</v>
      </c>
    </row>
    <row r="28" spans="1:18" ht="15" customHeight="1" outlineLevel="1">
      <c r="A28" s="195"/>
      <c r="B28" s="195"/>
      <c r="C28" s="196"/>
      <c r="D28" s="197"/>
      <c r="E28" s="198" t="s">
        <v>178</v>
      </c>
      <c r="F28" s="198"/>
      <c r="G28" s="198" t="s">
        <v>107</v>
      </c>
      <c r="H28" s="202">
        <f xml:space="preserve"> SUM( J28:R28 )</f>
        <v>131.6716918705024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21.729820571578223</v>
      </c>
      <c r="O28" s="202">
        <f t="shared" si="7"/>
        <v>22.226599638722558</v>
      </c>
      <c r="P28" s="202">
        <f t="shared" si="7"/>
        <v>24.479737699121657</v>
      </c>
      <c r="Q28" s="202">
        <f t="shared" si="7"/>
        <v>32.359863749368358</v>
      </c>
      <c r="R28" s="202">
        <f t="shared" si="7"/>
        <v>30.875670211711594</v>
      </c>
    </row>
    <row r="29" spans="1:18" ht="15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customHeight="1" outlineLevel="1">
      <c r="A30" s="164"/>
      <c r="B30" s="164" t="s">
        <v>179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131.43710660345411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23.343</v>
      </c>
      <c r="O32" s="204">
        <f xml:space="preserve"> InputsR!O$17</f>
        <v>19.764999999999997</v>
      </c>
      <c r="P32" s="204">
        <f xml:space="preserve"> InputsR!P$17</f>
        <v>24.4</v>
      </c>
      <c r="Q32" s="204">
        <f xml:space="preserve"> InputsR!Q$17</f>
        <v>32.871000000000002</v>
      </c>
      <c r="R32" s="204">
        <f xml:space="preserve"> InputsR!R$17</f>
        <v>31.058106603454121</v>
      </c>
    </row>
    <row r="33" spans="1:18" ht="15" customHeight="1" outlineLevel="1">
      <c r="A33" s="103"/>
      <c r="B33" s="83"/>
      <c r="C33" s="104"/>
      <c r="D33" s="85" t="s">
        <v>161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131.6716918705024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21.729820571578223</v>
      </c>
      <c r="O33" s="173">
        <f t="shared" si="8"/>
        <v>22.226599638722558</v>
      </c>
      <c r="P33" s="173">
        <f t="shared" si="8"/>
        <v>24.479737699121657</v>
      </c>
      <c r="Q33" s="173">
        <f t="shared" si="8"/>
        <v>32.359863749368358</v>
      </c>
      <c r="R33" s="173">
        <f t="shared" si="8"/>
        <v>30.875670211711594</v>
      </c>
    </row>
    <row r="34" spans="1:18" ht="15" customHeight="1" outlineLevel="1">
      <c r="A34" s="191"/>
      <c r="B34" s="191"/>
      <c r="C34" s="156"/>
      <c r="D34" s="192"/>
      <c r="E34" s="206" t="s">
        <v>180</v>
      </c>
      <c r="F34" s="207"/>
      <c r="G34" s="207" t="s">
        <v>107</v>
      </c>
      <c r="H34" s="207">
        <f xml:space="preserve"> SUM(J34:W34)</f>
        <v>-0.23458526704827065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1.6131794284217769</v>
      </c>
      <c r="O34" s="203">
        <f t="shared" si="9"/>
        <v>-2.4615996387225607</v>
      </c>
      <c r="P34" s="203">
        <f t="shared" si="9"/>
        <v>-7.9737699121658068E-2</v>
      </c>
      <c r="Q34" s="203">
        <f t="shared" si="9"/>
        <v>0.51113625063164392</v>
      </c>
      <c r="R34" s="203">
        <f t="shared" si="9"/>
        <v>0.18243639174252735</v>
      </c>
    </row>
    <row r="35" spans="1:18" ht="15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customHeight="1" outlineLevel="1">
      <c r="A36" s="83"/>
      <c r="B36" s="83" t="s">
        <v>181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3.1199800000000003E-2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-0.23458526704827065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1.6131794284217769</v>
      </c>
      <c r="O40" s="202">
        <f t="shared" si="10"/>
        <v>-2.4615996387225607</v>
      </c>
      <c r="P40" s="202">
        <f t="shared" si="10"/>
        <v>-7.9737699121658068E-2</v>
      </c>
      <c r="Q40" s="202">
        <f t="shared" si="10"/>
        <v>0.51113625063164392</v>
      </c>
      <c r="R40" s="202">
        <f t="shared" si="10"/>
        <v>0.18243639174252735</v>
      </c>
    </row>
    <row r="41" spans="1:18" ht="15" customHeight="1" outlineLevel="1">
      <c r="A41" s="83"/>
      <c r="B41" s="83"/>
      <c r="C41" s="104"/>
      <c r="D41" s="85"/>
      <c r="E41" s="166" t="s">
        <v>182</v>
      </c>
      <c r="F41" s="173"/>
      <c r="G41" s="173" t="s">
        <v>107</v>
      </c>
      <c r="H41" s="173">
        <f xml:space="preserve"> SUM(J41:W41)</f>
        <v>-0.24945164563271627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1.7154114927339126</v>
      </c>
      <c r="O41" s="203">
        <f t="shared" si="11"/>
        <v>-2.6175986603706458</v>
      </c>
      <c r="P41" s="203">
        <f t="shared" si="11"/>
        <v>-8.4790918522479566E-2</v>
      </c>
      <c r="Q41" s="203">
        <f t="shared" si="11"/>
        <v>0.54352850230941319</v>
      </c>
      <c r="R41" s="203">
        <f t="shared" si="11"/>
        <v>0.19399793821708333</v>
      </c>
    </row>
    <row r="42" spans="1:18" ht="15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-0.24945164563271627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1.7154114927339126</v>
      </c>
      <c r="O45" s="173">
        <f t="shared" si="12"/>
        <v>-2.6175986603706458</v>
      </c>
      <c r="P45" s="173">
        <f t="shared" si="12"/>
        <v>-8.4790918522479566E-2</v>
      </c>
      <c r="Q45" s="173">
        <f t="shared" si="12"/>
        <v>0.54352850230941319</v>
      </c>
      <c r="R45" s="173">
        <f t="shared" si="12"/>
        <v>0.19399793821708333</v>
      </c>
    </row>
    <row r="46" spans="1:18" ht="15" customHeight="1" outlineLevel="1" thickBot="1">
      <c r="A46" s="83"/>
      <c r="B46" s="83"/>
      <c r="C46" s="84"/>
      <c r="D46" s="85"/>
      <c r="E46" s="210" t="s">
        <v>183</v>
      </c>
      <c r="F46" s="211"/>
      <c r="G46" s="211" t="s">
        <v>107</v>
      </c>
      <c r="H46" s="244">
        <f xml:space="preserve"> SUM(J46:W46)</f>
        <v>-1.2869411393859338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1.8039488601008242</v>
      </c>
      <c r="O46" s="244">
        <f t="shared" si="13"/>
        <v>-2.9942833438520311</v>
      </c>
      <c r="P46" s="244">
        <f t="shared" si="13"/>
        <v>-9.6606655634726951E-2</v>
      </c>
      <c r="Q46" s="244">
        <f t="shared" si="13"/>
        <v>0</v>
      </c>
      <c r="R46" s="244">
        <f t="shared" si="13"/>
        <v>0</v>
      </c>
    </row>
    <row r="47" spans="1:18" ht="15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customHeight="1" outlineLevel="1">
      <c r="A48" s="164"/>
      <c r="B48" s="164" t="s">
        <v>184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1">
        <f xml:space="preserve"> InputsR!H$21</f>
        <v>2.611E-3</v>
      </c>
      <c r="I52" s="261">
        <f xml:space="preserve"> InputsR!I$21</f>
        <v>0</v>
      </c>
      <c r="J52" s="261">
        <f xml:space="preserve"> InputsR!J$21</f>
        <v>0</v>
      </c>
      <c r="K52" s="261">
        <f xml:space="preserve"> InputsR!K$21</f>
        <v>0</v>
      </c>
      <c r="L52" s="261">
        <f xml:space="preserve"> InputsR!L$21</f>
        <v>0</v>
      </c>
      <c r="M52" s="261">
        <f xml:space="preserve"> InputsR!M$21</f>
        <v>0</v>
      </c>
      <c r="N52" s="261">
        <f xml:space="preserve"> InputsR!N$21</f>
        <v>2.611E-3</v>
      </c>
      <c r="O52" s="261">
        <f xml:space="preserve"> InputsR!O$21</f>
        <v>0</v>
      </c>
      <c r="P52" s="261">
        <f xml:space="preserve"> InputsR!P$21</f>
        <v>0</v>
      </c>
      <c r="Q52" s="261">
        <f xml:space="preserve"> InputsR!Q$21</f>
        <v>0</v>
      </c>
      <c r="R52" s="261">
        <f xml:space="preserve"> InputsR!R$21</f>
        <v>0</v>
      </c>
    </row>
    <row r="53" spans="1:18" ht="15" customHeight="1" outlineLevel="1" thickBot="1">
      <c r="A53" s="215"/>
      <c r="B53" s="215"/>
      <c r="C53" s="216"/>
      <c r="D53" s="202"/>
      <c r="E53" s="217" t="s">
        <v>185</v>
      </c>
      <c r="F53" s="217"/>
      <c r="G53" s="217" t="s">
        <v>107</v>
      </c>
      <c r="H53" s="244">
        <f xml:space="preserve"> SUM(J53:W53)</f>
        <v>2.7457612903225804E-3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t="shared" si="14"/>
        <v>0</v>
      </c>
      <c r="M53" s="244">
        <f t="shared" si="14"/>
        <v>0</v>
      </c>
      <c r="N53" s="244">
        <f t="shared" si="14"/>
        <v>2.7457612903225804E-3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64"/>
      <c r="B55" s="164" t="s">
        <v>186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-1.2869411393859338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1.8039488601008242</v>
      </c>
      <c r="O57" s="203">
        <f t="shared" si="15"/>
        <v>-2.9942833438520311</v>
      </c>
      <c r="P57" s="203">
        <f t="shared" si="15"/>
        <v>-9.6606655634726951E-2</v>
      </c>
      <c r="Q57" s="203">
        <f t="shared" si="15"/>
        <v>0</v>
      </c>
      <c r="R57" s="203">
        <f t="shared" si="15"/>
        <v>0</v>
      </c>
    </row>
    <row r="58" spans="1:18" ht="15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2.7457612903225804E-3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2.7457612903225804E-3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customHeight="1" outlineLevel="1" thickBot="1">
      <c r="A59" s="221"/>
      <c r="B59" s="221"/>
      <c r="C59" s="221"/>
      <c r="D59" s="222"/>
      <c r="E59" s="223" t="s">
        <v>187</v>
      </c>
      <c r="F59" s="224"/>
      <c r="G59" s="225" t="s">
        <v>107</v>
      </c>
      <c r="H59" s="244">
        <f xml:space="preserve"> SUM(J59:W59)</f>
        <v>1.2841953780956112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-1.8066946213911468</v>
      </c>
      <c r="O59" s="223">
        <f t="shared" si="17"/>
        <v>2.9942833438520311</v>
      </c>
      <c r="P59" s="223">
        <f t="shared" si="17"/>
        <v>9.6606655634726951E-2</v>
      </c>
      <c r="Q59" s="223">
        <f t="shared" si="17"/>
        <v>0</v>
      </c>
      <c r="R59" s="223">
        <f t="shared" si="17"/>
        <v>0</v>
      </c>
    </row>
    <row r="60" spans="1:18" ht="15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customHeight="1" outlineLevel="1">
      <c r="A61" s="164"/>
      <c r="B61" s="164" t="s">
        <v>188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1.2841953780956112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-1.8066946213911468</v>
      </c>
      <c r="O63" s="203">
        <f t="shared" si="18"/>
        <v>2.9942833438520311</v>
      </c>
      <c r="P63" s="203">
        <f t="shared" si="18"/>
        <v>9.6606655634726951E-2</v>
      </c>
      <c r="Q63" s="203">
        <f t="shared" si="18"/>
        <v>0</v>
      </c>
      <c r="R63" s="203">
        <f t="shared" si="18"/>
        <v>0</v>
      </c>
    </row>
    <row r="64" spans="1:18" ht="15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customHeight="1" outlineLevel="1">
      <c r="A65" s="229"/>
      <c r="B65" s="229"/>
      <c r="C65" s="221"/>
      <c r="D65" s="222"/>
      <c r="E65" s="206" t="s">
        <v>189</v>
      </c>
      <c r="F65" s="206" t="s">
        <v>190</v>
      </c>
      <c r="G65" s="206" t="s">
        <v>107</v>
      </c>
      <c r="H65" s="246">
        <f>SUM(J65:U65)</f>
        <v>1.2841953780956112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t="shared" si="19"/>
        <v>0</v>
      </c>
      <c r="O65" s="246">
        <f t="shared" si="19"/>
        <v>0</v>
      </c>
      <c r="P65" s="246">
        <f t="shared" si="19"/>
        <v>-1.8066946213911468</v>
      </c>
      <c r="Q65" s="246">
        <f t="shared" si="19"/>
        <v>2.9942833438520311</v>
      </c>
      <c r="R65" s="246">
        <f t="shared" si="19"/>
        <v>9.6606655634726951E-2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>
      <c r="A67" s="80" t="s">
        <v>191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customHeight="1" outlineLevel="1">
      <c r="A69" s="226"/>
      <c r="B69" s="83" t="s">
        <v>192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3.1199800000000003E-2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-0.23458526704827065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1.6131794284217769</v>
      </c>
      <c r="O73" s="202">
        <f t="shared" si="20"/>
        <v>-2.4615996387225607</v>
      </c>
      <c r="P73" s="202">
        <f t="shared" si="20"/>
        <v>-7.9737699121658068E-2</v>
      </c>
      <c r="Q73" s="202">
        <f t="shared" si="20"/>
        <v>0.51113625063164392</v>
      </c>
      <c r="R73" s="202">
        <f t="shared" si="20"/>
        <v>0.18243639174252735</v>
      </c>
    </row>
    <row r="74" spans="1:18" ht="15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customHeight="1" outlineLevel="1">
      <c r="A75" s="208"/>
      <c r="B75" s="208"/>
      <c r="C75" s="201"/>
      <c r="D75" s="205"/>
      <c r="E75" s="166" t="s">
        <v>193</v>
      </c>
      <c r="F75" s="202"/>
      <c r="G75" s="202" t="s">
        <v>107</v>
      </c>
      <c r="H75" s="206">
        <f xml:space="preserve"> SUM( J75:U75 )</f>
        <v>-0.54904541606677204</v>
      </c>
      <c r="I75" s="202"/>
      <c r="J75" s="202">
        <f xml:space="preserve"> J74 * - I73 * ( 1 + $F$71 ) * J72</f>
        <v>0</v>
      </c>
      <c r="K75" s="202">
        <f t="shared" ref="K75:Q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xml:space="preserve"> R74 * - Q73 * ( 1 + $F$71 ) * R72</f>
        <v>-0.54904541606677204</v>
      </c>
    </row>
    <row r="76" spans="1:18" ht="15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1">
        <f xml:space="preserve"> InputsR!H$21</f>
        <v>2.611E-3</v>
      </c>
      <c r="I78" s="261">
        <f xml:space="preserve"> InputsR!I$21</f>
        <v>0</v>
      </c>
      <c r="J78" s="261">
        <f xml:space="preserve"> InputsR!J$21</f>
        <v>0</v>
      </c>
      <c r="K78" s="261">
        <f xml:space="preserve"> InputsR!K$21</f>
        <v>0</v>
      </c>
      <c r="L78" s="261">
        <f xml:space="preserve"> InputsR!L$21</f>
        <v>0</v>
      </c>
      <c r="M78" s="261">
        <f xml:space="preserve"> InputsR!M$21</f>
        <v>0</v>
      </c>
      <c r="N78" s="261">
        <f xml:space="preserve"> InputsR!N$21</f>
        <v>2.611E-3</v>
      </c>
      <c r="O78" s="261">
        <f xml:space="preserve"> InputsR!O$21</f>
        <v>0</v>
      </c>
      <c r="P78" s="261">
        <f xml:space="preserve"> InputsR!P$21</f>
        <v>0</v>
      </c>
      <c r="Q78" s="261">
        <f xml:space="preserve"> InputsR!Q$21</f>
        <v>0</v>
      </c>
      <c r="R78" s="261">
        <f xml:space="preserve"> InputsR!R$21</f>
        <v>0</v>
      </c>
    </row>
    <row r="79" spans="1:18" ht="15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customHeight="1" outlineLevel="1">
      <c r="A80" s="229"/>
      <c r="B80" s="229"/>
      <c r="C80" s="221"/>
      <c r="D80" s="222"/>
      <c r="E80" s="206" t="s">
        <v>194</v>
      </c>
      <c r="F80" s="206"/>
      <c r="G80" s="206" t="s">
        <v>107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-0.54904541606677204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-0.54904541606677204</v>
      </c>
    </row>
    <row r="83" spans="1:18" ht="15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customHeight="1" outlineLevel="1">
      <c r="A84" s="186"/>
      <c r="B84" s="186"/>
      <c r="C84" s="186"/>
      <c r="D84" s="227"/>
      <c r="E84" s="206" t="s">
        <v>195</v>
      </c>
      <c r="F84" s="206"/>
      <c r="G84" s="206" t="s">
        <v>107</v>
      </c>
      <c r="H84" s="206">
        <f xml:space="preserve"> SUM( J84:U84 )</f>
        <v>-0.54904541606677204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-0.54904541606677204</v>
      </c>
    </row>
    <row r="85" spans="1:18" ht="15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customHeight="1" outlineLevel="1">
      <c r="A86" s="229"/>
      <c r="B86" s="83" t="s">
        <v>196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-0.23458526704827065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1.6131794284217769</v>
      </c>
      <c r="O88" s="250">
        <f t="shared" si="26"/>
        <v>-2.4615996387225607</v>
      </c>
      <c r="P88" s="250">
        <f t="shared" si="26"/>
        <v>-7.9737699121658068E-2</v>
      </c>
      <c r="Q88" s="250">
        <f t="shared" si="26"/>
        <v>0.51113625063164392</v>
      </c>
      <c r="R88" s="250">
        <f t="shared" si="26"/>
        <v>0.18243639174252735</v>
      </c>
    </row>
    <row r="89" spans="1:18" ht="15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1">
        <f xml:space="preserve"> InputsR!H$21</f>
        <v>2.611E-3</v>
      </c>
      <c r="I89" s="261">
        <f xml:space="preserve"> InputsR!I$21</f>
        <v>0</v>
      </c>
      <c r="J89" s="261">
        <f xml:space="preserve"> InputsR!J$21</f>
        <v>0</v>
      </c>
      <c r="K89" s="261">
        <f xml:space="preserve"> InputsR!K$21</f>
        <v>0</v>
      </c>
      <c r="L89" s="261">
        <f xml:space="preserve"> InputsR!L$21</f>
        <v>0</v>
      </c>
      <c r="M89" s="261">
        <f xml:space="preserve"> InputsR!M$21</f>
        <v>0</v>
      </c>
      <c r="N89" s="261">
        <f xml:space="preserve"> InputsR!N$21</f>
        <v>2.611E-3</v>
      </c>
      <c r="O89" s="261">
        <f xml:space="preserve"> InputsR!O$21</f>
        <v>0</v>
      </c>
      <c r="P89" s="261">
        <f xml:space="preserve"> InputsR!P$21</f>
        <v>0</v>
      </c>
      <c r="Q89" s="261">
        <f xml:space="preserve"> InputsR!Q$21</f>
        <v>0</v>
      </c>
      <c r="R89" s="261">
        <f xml:space="preserve"> InputsR!R$21</f>
        <v>0</v>
      </c>
    </row>
    <row r="90" spans="1:18" ht="15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customHeight="1" outlineLevel="1">
      <c r="A91" s="226"/>
      <c r="B91" s="226"/>
      <c r="C91" s="186"/>
      <c r="D91" s="227"/>
      <c r="E91" s="206" t="s">
        <v>197</v>
      </c>
      <c r="F91" s="206"/>
      <c r="G91" s="206" t="s">
        <v>107</v>
      </c>
      <c r="H91" s="206">
        <f xml:space="preserve"> SUM( J91:U91 )</f>
        <v>-0.18243639174252735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-0.18243639174252735</v>
      </c>
    </row>
    <row r="92" spans="1:18" ht="15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9" customFormat="1" ht="15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-0.54904541606677204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-0.54904541606677204</v>
      </c>
    </row>
    <row r="94" spans="1:18" s="289" customFormat="1" ht="15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-0.18243639174252735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-0.18243639174252735</v>
      </c>
    </row>
    <row r="95" spans="1:18" s="149" customFormat="1" ht="15" customHeight="1" outlineLevel="1" thickBot="1">
      <c r="A95" s="226"/>
      <c r="B95" s="226"/>
      <c r="C95" s="186"/>
      <c r="D95" s="227"/>
      <c r="E95" s="235" t="s">
        <v>198</v>
      </c>
      <c r="F95" s="235"/>
      <c r="G95" s="235" t="str">
        <f t="shared" si="29"/>
        <v>£m</v>
      </c>
      <c r="H95" s="235">
        <f xml:space="preserve"> SUM( J95:R95 )</f>
        <v>-0.73148180780929939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-0.73148180780929939</v>
      </c>
    </row>
    <row r="96" spans="1:18" ht="15" customHeight="1" thickTop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>
      <c r="A97" s="80" t="s">
        <v>199</v>
      </c>
      <c r="B97" s="240"/>
      <c r="C97" s="269"/>
      <c r="D97" s="270"/>
      <c r="E97" s="240"/>
      <c r="F97" s="240"/>
      <c r="G97" s="27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customHeight="1" outlineLevel="1">
      <c r="A98" s="271"/>
      <c r="B98" s="271"/>
      <c r="C98" s="272"/>
      <c r="D98" s="273"/>
      <c r="E98" s="271"/>
      <c r="F98" s="271"/>
      <c r="G98" s="273"/>
      <c r="H98" s="271"/>
      <c r="I98" s="271"/>
      <c r="J98" s="271"/>
      <c r="K98" s="271"/>
      <c r="L98" s="271"/>
      <c r="M98" s="271"/>
      <c r="N98" s="271"/>
      <c r="O98"/>
    </row>
    <row r="99" spans="1:18" s="300" customFormat="1" ht="12.75" customHeight="1" outlineLevel="1">
      <c r="A99" s="83"/>
      <c r="B99" s="83" t="s">
        <v>200</v>
      </c>
      <c r="C99" s="104"/>
      <c r="D99" s="85"/>
      <c r="E99" s="163"/>
      <c r="F99" s="163"/>
      <c r="G99" s="275"/>
      <c r="H99" s="163"/>
      <c r="I99" s="163"/>
      <c r="J99" s="163"/>
      <c r="K99" s="163"/>
      <c r="L99" s="163"/>
      <c r="M99" s="163"/>
      <c r="N99" s="163"/>
      <c r="O99"/>
      <c r="P99" s="347"/>
      <c r="Q99" s="347"/>
      <c r="R99" s="347"/>
    </row>
    <row r="100" spans="1:18" s="300" customFormat="1" ht="12.75" customHeight="1" outlineLevel="1">
      <c r="A100" s="83"/>
      <c r="B100" s="83"/>
      <c r="C100" s="104"/>
      <c r="D100" s="85"/>
      <c r="E100" s="163"/>
      <c r="F100" s="163"/>
      <c r="G100" s="275"/>
      <c r="H100" s="163"/>
      <c r="I100" s="163"/>
      <c r="J100" s="163"/>
      <c r="K100" s="163"/>
      <c r="L100" s="163"/>
      <c r="M100" s="163"/>
      <c r="N100" s="163"/>
      <c r="O100"/>
      <c r="P100" s="347"/>
      <c r="Q100" s="347"/>
      <c r="R100" s="347"/>
    </row>
    <row r="101" spans="1:18" outlineLevel="1">
      <c r="A101" s="16"/>
      <c r="B101" s="16"/>
      <c r="C101" s="17"/>
      <c r="D101" s="158"/>
      <c r="E101" s="340" t="str">
        <f t="shared" ref="E101:R101" si="31" xml:space="preserve"> E$16</f>
        <v>Forecast volume of sludge (FTDS)</v>
      </c>
      <c r="F101" s="340">
        <f t="shared" si="31"/>
        <v>0</v>
      </c>
      <c r="G101" s="340" t="str">
        <f t="shared" si="31"/>
        <v>TDS</v>
      </c>
      <c r="H101" s="340">
        <f t="shared" si="31"/>
        <v>371100</v>
      </c>
      <c r="I101" s="340">
        <f t="shared" si="31"/>
        <v>0</v>
      </c>
      <c r="J101" s="340">
        <f t="shared" si="31"/>
        <v>0</v>
      </c>
      <c r="K101" s="340">
        <f t="shared" si="31"/>
        <v>0</v>
      </c>
      <c r="L101" s="340">
        <f t="shared" si="31"/>
        <v>0</v>
      </c>
      <c r="M101" s="340">
        <f t="shared" si="31"/>
        <v>0</v>
      </c>
      <c r="N101" s="340">
        <f t="shared" si="31"/>
        <v>72700</v>
      </c>
      <c r="O101" s="340">
        <f t="shared" si="31"/>
        <v>73500</v>
      </c>
      <c r="P101" s="340">
        <f t="shared" si="31"/>
        <v>74200</v>
      </c>
      <c r="Q101" s="340">
        <f t="shared" si="31"/>
        <v>75000</v>
      </c>
      <c r="R101" s="340">
        <f t="shared" si="31"/>
        <v>75700</v>
      </c>
    </row>
    <row r="102" spans="1:18" s="300" customFormat="1" ht="12.75" customHeight="1" outlineLevel="1">
      <c r="A102" s="83"/>
      <c r="B102" s="83"/>
      <c r="C102" s="104"/>
      <c r="D102" s="85"/>
      <c r="E102" s="163" t="s">
        <v>100</v>
      </c>
      <c r="F102" s="27">
        <f xml:space="preserve"> SUM( N101:R101 )</f>
        <v>371100</v>
      </c>
      <c r="G102" s="277" t="s">
        <v>80</v>
      </c>
      <c r="H102" s="163"/>
      <c r="I102" s="163"/>
      <c r="J102" s="163"/>
      <c r="K102" s="163"/>
      <c r="L102" s="163"/>
      <c r="M102" s="163"/>
      <c r="N102" s="163"/>
      <c r="O102"/>
      <c r="P102" s="347"/>
      <c r="Q102" s="347"/>
      <c r="R102" s="347"/>
    </row>
    <row r="103" spans="1:18" s="300" customFormat="1" ht="12.75" customHeight="1" outlineLevel="1">
      <c r="A103" s="83"/>
      <c r="B103" s="83"/>
      <c r="C103" s="104"/>
      <c r="D103" s="85"/>
      <c r="E103" s="169"/>
      <c r="F103" s="169"/>
      <c r="G103" s="278"/>
      <c r="H103" s="169"/>
      <c r="I103" s="169"/>
      <c r="J103" s="169"/>
      <c r="K103" s="169"/>
      <c r="L103" s="169"/>
      <c r="M103" s="169"/>
      <c r="N103" s="169"/>
      <c r="O103"/>
      <c r="P103" s="347"/>
      <c r="Q103" s="347"/>
      <c r="R103" s="347"/>
    </row>
    <row r="104" spans="1:18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355000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70000</v>
      </c>
      <c r="O104" s="187">
        <f t="shared" si="32"/>
        <v>73500</v>
      </c>
      <c r="P104" s="187">
        <f t="shared" si="32"/>
        <v>69800</v>
      </c>
      <c r="Q104" s="187">
        <f t="shared" si="32"/>
        <v>71100</v>
      </c>
      <c r="R104" s="187">
        <f t="shared" si="32"/>
        <v>70600</v>
      </c>
    </row>
    <row r="105" spans="1:18" s="168" customFormat="1" ht="12.75" customHeight="1" outlineLevel="1">
      <c r="A105" s="83"/>
      <c r="B105" s="83"/>
      <c r="C105" s="104"/>
      <c r="D105" s="85"/>
      <c r="E105" s="163" t="s">
        <v>101</v>
      </c>
      <c r="F105" s="27">
        <f xml:space="preserve"> SUM( N104:R104 )</f>
        <v>355000</v>
      </c>
      <c r="G105" s="277" t="s">
        <v>80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300" customFormat="1" ht="12.75" customHeight="1" outlineLevel="1">
      <c r="A106" s="83"/>
      <c r="B106" s="83"/>
      <c r="C106" s="104"/>
      <c r="D106" s="85"/>
      <c r="E106" s="163"/>
      <c r="F106" s="163"/>
      <c r="G106" s="277"/>
      <c r="H106" s="163"/>
      <c r="I106" s="163"/>
      <c r="J106" s="163"/>
      <c r="K106" s="163"/>
      <c r="L106" s="163"/>
      <c r="M106" s="163"/>
      <c r="N106" s="163"/>
      <c r="O106"/>
      <c r="P106" s="347"/>
      <c r="Q106" s="347"/>
      <c r="R106" s="347"/>
    </row>
    <row r="107" spans="1:18" s="300" customFormat="1" ht="12.75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355000</v>
      </c>
      <c r="G107" s="277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47"/>
      <c r="Q107" s="347"/>
      <c r="R107" s="347"/>
    </row>
    <row r="108" spans="1:18" s="300" customFormat="1" ht="12.75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371100</v>
      </c>
      <c r="G108" s="277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47"/>
      <c r="Q108" s="347"/>
      <c r="R108" s="347"/>
    </row>
    <row r="109" spans="1:18" s="300" customFormat="1" ht="12.75" customHeight="1" outlineLevel="1">
      <c r="A109" s="83"/>
      <c r="B109" s="83"/>
      <c r="C109" s="104"/>
      <c r="D109" s="85"/>
      <c r="E109" s="163" t="s">
        <v>201</v>
      </c>
      <c r="F109" s="27">
        <f xml:space="preserve"> ABS( F107 - F108 )</f>
        <v>16100</v>
      </c>
      <c r="G109" s="277" t="s">
        <v>80</v>
      </c>
      <c r="H109" s="163"/>
      <c r="I109" s="163"/>
      <c r="J109" s="163"/>
      <c r="K109" s="163"/>
      <c r="L109" s="163"/>
      <c r="M109" s="163"/>
      <c r="N109" s="163"/>
      <c r="O109"/>
      <c r="P109" s="347"/>
      <c r="Q109" s="347"/>
      <c r="R109" s="347"/>
    </row>
    <row r="110" spans="1:18" s="300" customFormat="1" ht="12.75" customHeight="1" outlineLevel="1">
      <c r="A110" s="83"/>
      <c r="B110" s="83"/>
      <c r="C110" s="104"/>
      <c r="D110" s="85"/>
      <c r="E110" s="163"/>
      <c r="F110" s="163"/>
      <c r="G110" s="277"/>
      <c r="H110" s="163"/>
      <c r="I110" s="163"/>
      <c r="J110" s="163"/>
      <c r="K110" s="163"/>
      <c r="L110" s="163"/>
      <c r="M110" s="163"/>
      <c r="N110" s="163"/>
      <c r="O110"/>
      <c r="P110" s="347"/>
      <c r="Q110" s="347"/>
      <c r="R110" s="347"/>
    </row>
    <row r="111" spans="1:18" s="300" customFormat="1" ht="12.75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355000</v>
      </c>
      <c r="G111" s="277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47"/>
      <c r="Q111" s="347"/>
      <c r="R111" s="347"/>
    </row>
    <row r="112" spans="1:18" s="300" customFormat="1" ht="12.75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371100</v>
      </c>
      <c r="G112" s="277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47"/>
      <c r="Q112" s="347"/>
      <c r="R112" s="347"/>
    </row>
    <row r="113" spans="1:18" s="300" customFormat="1" ht="12.75" customHeight="1" outlineLevel="1">
      <c r="A113" s="83"/>
      <c r="B113" s="83"/>
      <c r="C113" s="104"/>
      <c r="D113" s="85"/>
      <c r="E113" s="163" t="s">
        <v>202</v>
      </c>
      <c r="F113" s="276">
        <f xml:space="preserve"> IF( F111 = 0, 0, ABS(( F111 - F112 ) / F112 ))</f>
        <v>4.3384532471032064E-2</v>
      </c>
      <c r="G113" s="277" t="s">
        <v>111</v>
      </c>
      <c r="H113" s="163"/>
      <c r="I113" s="163"/>
      <c r="J113" s="163"/>
      <c r="K113" s="163"/>
      <c r="L113" s="163"/>
      <c r="M113" s="163"/>
      <c r="N113" s="163"/>
      <c r="O113"/>
      <c r="P113" s="347"/>
      <c r="Q113" s="347"/>
      <c r="R113" s="347"/>
    </row>
    <row r="114" spans="1:18" s="300" customFormat="1" ht="12.75" customHeight="1" outlineLevel="1">
      <c r="A114" s="83"/>
      <c r="B114" s="83"/>
      <c r="C114" s="104"/>
      <c r="D114" s="85"/>
      <c r="E114" s="163"/>
      <c r="F114" s="163"/>
      <c r="G114" s="277"/>
      <c r="H114" s="163"/>
      <c r="I114" s="163"/>
      <c r="J114" s="163"/>
      <c r="K114" s="163"/>
      <c r="L114" s="163"/>
      <c r="M114" s="163"/>
      <c r="N114" s="163"/>
      <c r="O114"/>
      <c r="P114" s="347"/>
      <c r="Q114" s="347"/>
      <c r="R114" s="347"/>
    </row>
    <row r="115" spans="1:18" s="300" customFormat="1" ht="12.75" customHeight="1" outlineLevel="1">
      <c r="A115" s="83"/>
      <c r="B115" s="83" t="s">
        <v>203</v>
      </c>
      <c r="C115" s="104"/>
      <c r="D115" s="85"/>
      <c r="E115" s="163"/>
      <c r="F115" s="163"/>
      <c r="G115" s="277"/>
      <c r="H115" s="163"/>
      <c r="I115" s="163"/>
      <c r="J115" s="163"/>
      <c r="K115" s="163"/>
      <c r="L115" s="163"/>
      <c r="M115" s="163"/>
      <c r="N115" s="163"/>
      <c r="O115"/>
      <c r="P115" s="347"/>
      <c r="Q115" s="347"/>
      <c r="R115" s="347"/>
    </row>
    <row r="116" spans="1:18" s="300" customFormat="1" ht="12.75" customHeight="1" outlineLevel="1">
      <c r="A116" s="83"/>
      <c r="B116" s="83"/>
      <c r="C116" s="104"/>
      <c r="D116" s="85"/>
      <c r="E116" s="163"/>
      <c r="F116" s="163"/>
      <c r="G116" s="277"/>
      <c r="H116" s="163"/>
      <c r="I116" s="163"/>
      <c r="J116" s="163"/>
      <c r="K116" s="163"/>
      <c r="L116" s="163"/>
      <c r="M116" s="163"/>
      <c r="N116" s="163"/>
      <c r="O116"/>
      <c r="P116" s="347"/>
      <c r="Q116" s="347"/>
      <c r="R116" s="347"/>
    </row>
    <row r="117" spans="1:18" s="300" customFormat="1" ht="12.75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8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47"/>
      <c r="Q117" s="347"/>
      <c r="R117" s="347"/>
    </row>
    <row r="118" spans="1:18" s="300" customFormat="1" ht="12.75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6">
        <f xml:space="preserve"> F$113</f>
        <v>4.3384532471032064E-2</v>
      </c>
      <c r="G118" s="163" t="str">
        <f xml:space="preserve"> G$113</f>
        <v>%</v>
      </c>
      <c r="H118" s="163"/>
      <c r="I118" s="276"/>
      <c r="J118" s="163"/>
      <c r="K118" s="163"/>
      <c r="L118" s="163"/>
      <c r="M118" s="163"/>
      <c r="N118" s="163"/>
      <c r="O118"/>
      <c r="P118" s="347"/>
      <c r="Q118" s="347"/>
      <c r="R118" s="347"/>
    </row>
    <row r="119" spans="1:18" s="241" customFormat="1" ht="12.75" customHeight="1" outlineLevel="1">
      <c r="A119" s="103"/>
      <c r="B119" s="103"/>
      <c r="C119" s="104"/>
      <c r="D119" s="218"/>
      <c r="E119" s="290" t="s">
        <v>204</v>
      </c>
      <c r="F119" s="291" t="b">
        <f xml:space="preserve"> IF( F118 &gt;= F117, TRUE, FALSE)</f>
        <v>0</v>
      </c>
      <c r="G119" s="304" t="s">
        <v>205</v>
      </c>
      <c r="H119" s="290"/>
      <c r="I119" s="290"/>
      <c r="J119" s="290"/>
      <c r="K119" s="290"/>
      <c r="L119" s="290"/>
      <c r="M119" s="290"/>
      <c r="N119" s="290"/>
      <c r="O119" s="149"/>
    </row>
    <row r="120" spans="1:18" s="168" customFormat="1" ht="12.75" customHeight="1" outlineLevel="1">
      <c r="A120" s="83"/>
      <c r="B120" s="83"/>
      <c r="C120" s="104"/>
      <c r="D120" s="85"/>
      <c r="E120" s="305"/>
      <c r="F120" s="276"/>
      <c r="G120" s="277"/>
      <c r="H120" s="163"/>
      <c r="I120" s="163"/>
      <c r="J120" s="163"/>
      <c r="K120" s="163"/>
      <c r="L120" s="163"/>
      <c r="M120" s="163"/>
      <c r="N120" s="163"/>
      <c r="O120"/>
    </row>
    <row r="121" spans="1:18" s="300" customFormat="1" ht="12.75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47"/>
      <c r="Q121" s="347"/>
      <c r="R121" s="347"/>
    </row>
    <row r="122" spans="1:18" s="149" customFormat="1" outlineLevel="1">
      <c r="A122" s="16"/>
      <c r="B122" s="16"/>
      <c r="C122" s="17"/>
      <c r="D122" s="158"/>
      <c r="E122" s="301" t="str">
        <f xml:space="preserve"> InputsR!E$19</f>
        <v>Revised unadjusted revenue (URt) - 2017-18 FYA (CPIH deflated)</v>
      </c>
      <c r="F122" s="302">
        <f xml:space="preserve"> InputsR!F$19</f>
        <v>0</v>
      </c>
      <c r="G122" s="302" t="str">
        <f xml:space="preserve"> InputsR!G$19</f>
        <v>£m</v>
      </c>
      <c r="H122" s="303">
        <f xml:space="preserve"> InputsR!H$19</f>
        <v>113.38557475325786</v>
      </c>
      <c r="I122" s="302">
        <f xml:space="preserve"> InputsR!I$19</f>
        <v>0</v>
      </c>
      <c r="J122" s="302">
        <f xml:space="preserve"> InputsR!J$19</f>
        <v>0</v>
      </c>
      <c r="K122" s="302">
        <f xml:space="preserve"> InputsR!K$19</f>
        <v>0</v>
      </c>
      <c r="L122" s="302">
        <f xml:space="preserve"> InputsR!L$19</f>
        <v>0</v>
      </c>
      <c r="M122" s="302">
        <f xml:space="preserve"> InputsR!M$19</f>
        <v>0</v>
      </c>
      <c r="N122" s="303">
        <f xml:space="preserve"> InputsR!N$19</f>
        <v>20.513658716927772</v>
      </c>
      <c r="O122" s="303">
        <f xml:space="preserve"> InputsR!O$19</f>
        <v>20.739393613400154</v>
      </c>
      <c r="P122" s="303">
        <f xml:space="preserve"> InputsR!P$19</f>
        <v>23.657561508748501</v>
      </c>
      <c r="Q122" s="303">
        <f xml:space="preserve"> InputsR!Q$19</f>
        <v>24.135191729499699</v>
      </c>
      <c r="R122" s="303">
        <f xml:space="preserve"> InputsR!R$19</f>
        <v>24.339769184681732</v>
      </c>
    </row>
    <row r="123" spans="1:18" s="308" customFormat="1" ht="12.75" customHeight="1" outlineLevel="1">
      <c r="A123" s="103"/>
      <c r="B123" s="103"/>
      <c r="C123" s="104"/>
      <c r="D123" s="218"/>
      <c r="E123" s="290" t="str">
        <f xml:space="preserve"> E$113</f>
        <v>Forecast Error %</v>
      </c>
      <c r="F123" s="291">
        <f xml:space="preserve"> F$113</f>
        <v>4.3384532471032064E-2</v>
      </c>
      <c r="G123" s="290" t="str">
        <f xml:space="preserve"> G$113</f>
        <v>%</v>
      </c>
      <c r="H123" s="290"/>
      <c r="I123" s="290"/>
      <c r="J123" s="290"/>
      <c r="K123" s="290"/>
      <c r="L123" s="290"/>
      <c r="M123" s="290"/>
      <c r="N123" s="290"/>
      <c r="O123" s="149"/>
      <c r="P123" s="351"/>
      <c r="Q123" s="351"/>
      <c r="R123" s="351"/>
    </row>
    <row r="124" spans="1:18" s="300" customFormat="1" ht="12.75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0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47"/>
      <c r="Q124" s="347"/>
      <c r="R124" s="347"/>
    </row>
    <row r="125" spans="1:18" s="299" customFormat="1" ht="15" customHeight="1" outlineLevel="1" thickBot="1">
      <c r="A125" s="226"/>
      <c r="B125" s="226"/>
      <c r="C125" s="186"/>
      <c r="D125" s="227"/>
      <c r="E125" s="235" t="s">
        <v>206</v>
      </c>
      <c r="F125" s="235">
        <f xml:space="preserve"> IF($F124 = FALSE, 0, $F121 * $H122 * $F$123 )</f>
        <v>0</v>
      </c>
      <c r="G125" s="235" t="s">
        <v>107</v>
      </c>
      <c r="H125" s="235"/>
      <c r="I125" s="235"/>
      <c r="J125" s="309"/>
      <c r="K125" s="309"/>
      <c r="L125" s="309"/>
      <c r="M125" s="309"/>
      <c r="N125" s="309"/>
      <c r="O125" s="309"/>
      <c r="P125" s="309"/>
      <c r="Q125" s="309"/>
      <c r="R125" s="235"/>
    </row>
    <row r="126" spans="1:18" ht="15" customHeight="1" thickTop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173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47"/>
      <c r="R414" s="347"/>
    </row>
    <row r="415" spans="1:18" hidden="1">
      <c r="Q415" s="347"/>
      <c r="R415" s="347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47"/>
      <c r="R901" s="347"/>
    </row>
    <row r="902" spans="1:18" hidden="1">
      <c r="Q902" s="347"/>
      <c r="R902" s="347"/>
    </row>
    <row r="903" spans="1:18" hidden="1">
      <c r="Q903" s="347"/>
      <c r="R903" s="347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47"/>
      <c r="R904" s="347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47"/>
      <c r="R905" s="347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47"/>
      <c r="R906" s="347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47"/>
      <c r="R907" s="347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47"/>
      <c r="R908" s="347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47"/>
      <c r="R909" s="347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47"/>
      <c r="R910" s="347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47"/>
      <c r="R911" s="347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47"/>
      <c r="R912" s="347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47"/>
      <c r="R913" s="347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47"/>
      <c r="R914" s="347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47"/>
      <c r="R915" s="347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47"/>
      <c r="R916" s="347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47"/>
      <c r="R917" s="347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47"/>
      <c r="R918" s="347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47"/>
      <c r="R919" s="347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47"/>
      <c r="R920" s="347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47"/>
      <c r="R921" s="347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47"/>
      <c r="R922" s="347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47"/>
      <c r="R923" s="347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47"/>
      <c r="R924" s="347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47"/>
      <c r="R925" s="347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47"/>
      <c r="R926" s="347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47"/>
      <c r="R927" s="347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47"/>
      <c r="R928" s="347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47"/>
      <c r="R929" s="347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47"/>
      <c r="R930" s="347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47"/>
      <c r="R931" s="347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47"/>
      <c r="R932" s="347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47"/>
      <c r="R933" s="347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47"/>
      <c r="R934" s="347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47"/>
      <c r="R935" s="347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47"/>
      <c r="R936" s="347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47"/>
      <c r="R937" s="347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47"/>
      <c r="R938" s="347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47"/>
      <c r="R939" s="347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47"/>
      <c r="R940" s="347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47"/>
      <c r="R941" s="347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47"/>
      <c r="R942" s="347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47"/>
      <c r="R943" s="347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47"/>
      <c r="R944" s="347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47"/>
      <c r="R945" s="347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47"/>
      <c r="R946" s="347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47"/>
      <c r="R947" s="347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47"/>
      <c r="R948" s="347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47"/>
      <c r="R949" s="347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47"/>
      <c r="R950" s="347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47"/>
      <c r="R951" s="347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47"/>
      <c r="R1135" s="347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47"/>
      <c r="R1136" s="347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47"/>
      <c r="R1137" s="347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47"/>
      <c r="R1138" s="347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47"/>
      <c r="R1139" s="347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47"/>
      <c r="R1140" s="347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47"/>
      <c r="R1141" s="347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47"/>
      <c r="R1142" s="347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47"/>
      <c r="R1143" s="347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47"/>
      <c r="R1144" s="347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47"/>
      <c r="R1145" s="347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47"/>
      <c r="R1146" s="347"/>
    </row>
    <row r="1147" spans="1:18" hidden="1">
      <c r="Q1147" s="347"/>
      <c r="R1147" s="347"/>
    </row>
    <row r="1148" spans="1:18" hidden="1">
      <c r="Q1148" s="347"/>
      <c r="R1148" s="347"/>
    </row>
    <row r="1149" spans="1:18" hidden="1">
      <c r="Q1149" s="347"/>
      <c r="R1149" s="347"/>
    </row>
    <row r="1150" spans="1:18" hidden="1">
      <c r="Q1150" s="347"/>
      <c r="R1150" s="347"/>
    </row>
    <row r="1151" spans="1:18" hidden="1">
      <c r="Q1151" s="347"/>
      <c r="R1151" s="347"/>
    </row>
    <row r="1152" spans="1:18" hidden="1">
      <c r="Q1152" s="347"/>
      <c r="R1152" s="347"/>
    </row>
    <row r="1153" spans="17:18" hidden="1">
      <c r="Q1153" s="347"/>
      <c r="R1153" s="347"/>
    </row>
    <row r="1154" spans="17:18" hidden="1">
      <c r="Q1154" s="347"/>
      <c r="R1154" s="347"/>
    </row>
    <row r="1155" spans="17:18" hidden="1">
      <c r="Q1155" s="347"/>
      <c r="R1155" s="347"/>
    </row>
    <row r="1156" spans="17:18" hidden="1">
      <c r="Q1156" s="347"/>
      <c r="R1156" s="347"/>
    </row>
    <row r="1157" spans="17:18" hidden="1">
      <c r="Q1157" s="347"/>
      <c r="R1157" s="347"/>
    </row>
    <row r="1158" spans="17:18" hidden="1">
      <c r="Q1158" s="347"/>
      <c r="R1158" s="347"/>
    </row>
    <row r="1159" spans="17:18" hidden="1">
      <c r="Q1159" s="347"/>
      <c r="R1159" s="347"/>
    </row>
    <row r="1160" spans="17:18" hidden="1">
      <c r="Q1160" s="347"/>
      <c r="R1160" s="347"/>
    </row>
    <row r="1161" spans="17:18" hidden="1">
      <c r="Q1161" s="347"/>
      <c r="R1161" s="347"/>
    </row>
    <row r="1162" spans="17:18" hidden="1">
      <c r="Q1162" s="347"/>
      <c r="R1162" s="347"/>
    </row>
    <row r="1163" spans="17:18" hidden="1">
      <c r="Q1163" s="347"/>
      <c r="R1163" s="347"/>
    </row>
    <row r="1164" spans="17:18" hidden="1">
      <c r="Q1164" s="347"/>
      <c r="R1164" s="347"/>
    </row>
    <row r="1165" spans="17:18">
      <c r="Q1165" s="347"/>
      <c r="R1165" s="347"/>
    </row>
    <row r="1166" spans="17:18">
      <c r="Q1166" s="347"/>
      <c r="R1166" s="347"/>
    </row>
    <row r="1167" spans="17:18">
      <c r="Q1167" s="347"/>
      <c r="R1167" s="347"/>
    </row>
    <row r="1168" spans="17:18">
      <c r="Q1168" s="347"/>
      <c r="R1168" s="347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H9" sqref="H9"/>
    </sheetView>
  </sheetViews>
  <sheetFormatPr defaultColWidth="0" defaultRowHeight="14.5" zeroHeight="1"/>
  <cols>
    <col min="1" max="4" width="1.08984375" customWidth="1"/>
    <col min="5" max="5" width="71.6328125" bestFit="1" customWidth="1"/>
    <col min="6" max="6" width="14.08984375" customWidth="1"/>
    <col min="7" max="7" width="11.08984375" customWidth="1"/>
    <col min="8" max="8" width="12.7265625" bestFit="1" customWidth="1"/>
    <col min="9" max="9" width="1.36328125" customWidth="1"/>
    <col min="10" max="18" width="11.81640625" customWidth="1"/>
    <col min="19" max="16384" width="8.81640625" hidden="1"/>
  </cols>
  <sheetData>
    <row r="1" spans="1:18" ht="25">
      <c r="A1" s="70" t="str">
        <f ca="1" xml:space="preserve"> RIGHT(CELL("filename", A1), LEN(CELL("filename", A1)) - SEARCH("]", CELL("filename", A1)))</f>
        <v>Outputs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50">
        <f xml:space="preserve"> Time!J$21</f>
        <v>42825</v>
      </c>
      <c r="K2" s="350">
        <f xml:space="preserve"> Time!K$21</f>
        <v>43190</v>
      </c>
      <c r="L2" s="350">
        <f xml:space="preserve"> Time!L$21</f>
        <v>43555</v>
      </c>
      <c r="M2" s="350">
        <f xml:space="preserve"> Time!M$21</f>
        <v>43921</v>
      </c>
      <c r="N2" s="350">
        <f xml:space="preserve"> Time!N$21</f>
        <v>44286</v>
      </c>
      <c r="O2" s="350">
        <f xml:space="preserve"> Time!O$21</f>
        <v>44651</v>
      </c>
      <c r="P2" s="350">
        <f xml:space="preserve"> Time!P$21</f>
        <v>45016</v>
      </c>
      <c r="Q2" s="350">
        <f xml:space="preserve"> Time!Q$21</f>
        <v>45382</v>
      </c>
      <c r="R2" s="350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47" t="str">
        <f xml:space="preserve"> Time!J55</f>
        <v>Pre Fcst</v>
      </c>
      <c r="K3" s="347" t="str">
        <f xml:space="preserve"> Time!K55</f>
        <v>Pre Fcst</v>
      </c>
      <c r="L3" s="347" t="str">
        <f xml:space="preserve"> Time!L55</f>
        <v>Pre Fcst</v>
      </c>
      <c r="M3" s="347" t="str">
        <f xml:space="preserve"> Time!M55</f>
        <v>Pre Fcst</v>
      </c>
      <c r="N3" s="347" t="str">
        <f xml:space="preserve"> Time!N55</f>
        <v>Forecast</v>
      </c>
      <c r="O3" s="347" t="str">
        <f xml:space="preserve"> Time!O55</f>
        <v>Forecast</v>
      </c>
      <c r="P3" s="347" t="str">
        <f xml:space="preserve"> Time!P55</f>
        <v>Forecast</v>
      </c>
      <c r="Q3" s="347" t="str">
        <f xml:space="preserve"> Time!Q55</f>
        <v>Forecast</v>
      </c>
      <c r="R3" s="347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3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2.5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343">
        <f xml:space="preserve"> Calc!H$95</f>
        <v>-0.73148180780929939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-0.73148180780929939</v>
      </c>
    </row>
    <row r="10" spans="1:18" s="161" customFormat="1" ht="12.5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2.5">
      <c r="E11" s="169" t="str">
        <f xml:space="preserve"> Calc!E$125</f>
        <v>Bioresources forecasting accuracy incentive penalty - 2017-18 FYA (CPIH deflated)</v>
      </c>
      <c r="F11" s="169">
        <f xml:space="preserve"> Calc!F$125</f>
        <v>0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2.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3">
      <c r="A13" s="127" t="s">
        <v>208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2.5"/>
    <row r="15" spans="1:18" s="117" customFormat="1" ht="12.5" hidden="1"/>
    <row r="16" spans="1:18" s="117" customFormat="1" ht="12.5" hidden="1"/>
    <row r="17" s="117" customFormat="1" ht="12.5" hidden="1"/>
    <row r="18" s="117" customFormat="1" ht="12.5" hidden="1"/>
    <row r="19" s="117" customFormat="1" ht="12.5" hidden="1"/>
    <row r="20" s="117" customFormat="1" ht="12.5" hidden="1"/>
    <row r="21" s="117" customFormat="1" ht="12.5" hidden="1"/>
    <row r="22" s="117" customFormat="1" ht="12.5" hidden="1"/>
    <row r="23" s="117" customFormat="1" ht="12.5" hidden="1"/>
    <row r="24" s="117" customFormat="1" ht="12.5" hidden="1"/>
    <row r="25" s="117" customFormat="1" ht="12.5" hidden="1"/>
    <row r="26" s="117" customFormat="1" ht="12.5" hidden="1"/>
    <row r="27" s="117" customFormat="1" ht="12.5" hidden="1"/>
    <row r="28" s="117" customFormat="1" ht="12.5" hidden="1"/>
    <row r="29" s="117" customFormat="1" ht="12.5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06AA-0FBB-41DA-9D3F-4EB066A4E219}">
  <sheetPr>
    <tabColor rgb="FF99CCFF"/>
  </sheetPr>
  <dimension ref="A1:F9"/>
  <sheetViews>
    <sheetView zoomScale="80" zoomScaleNormal="80" workbookViewId="0"/>
  </sheetViews>
  <sheetFormatPr defaultRowHeight="14.5"/>
  <sheetData>
    <row r="1" spans="1:6">
      <c r="A1" s="108"/>
      <c r="B1" s="108"/>
      <c r="C1" s="108" t="s">
        <v>209</v>
      </c>
      <c r="D1" s="108"/>
      <c r="E1" s="108"/>
      <c r="F1" s="108"/>
    </row>
    <row r="2" spans="1:6">
      <c r="A2" s="108" t="s">
        <v>210</v>
      </c>
      <c r="B2" s="108" t="s">
        <v>211</v>
      </c>
      <c r="C2" s="108" t="s">
        <v>212</v>
      </c>
      <c r="D2" s="108" t="s">
        <v>97</v>
      </c>
      <c r="E2" s="108" t="s">
        <v>213</v>
      </c>
      <c r="F2" s="108" t="s">
        <v>214</v>
      </c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 t="s">
        <v>215</v>
      </c>
      <c r="C4" s="108" t="s">
        <v>216</v>
      </c>
      <c r="D4" s="108" t="s">
        <v>107</v>
      </c>
      <c r="E4" s="108" t="s">
        <v>217</v>
      </c>
      <c r="F4" s="352">
        <f>Outputs!H9</f>
        <v>-0.73148180780929939</v>
      </c>
    </row>
    <row r="5" spans="1:6">
      <c r="A5" s="108"/>
      <c r="B5" s="108" t="s">
        <v>218</v>
      </c>
      <c r="C5" s="108" t="s">
        <v>219</v>
      </c>
      <c r="D5" s="108" t="s">
        <v>107</v>
      </c>
      <c r="E5" s="108" t="s">
        <v>217</v>
      </c>
      <c r="F5" s="352">
        <f>Outputs!F11</f>
        <v>0</v>
      </c>
    </row>
    <row r="6" spans="1:6">
      <c r="A6" s="108"/>
      <c r="B6" s="108" t="s">
        <v>220</v>
      </c>
      <c r="C6" s="108" t="s">
        <v>221</v>
      </c>
      <c r="D6" s="108" t="s">
        <v>222</v>
      </c>
      <c r="E6" s="108" t="s">
        <v>217</v>
      </c>
      <c r="F6" t="str">
        <f ca="1">CONCATENATE("[…]", TEXT(NOW(),"dd/mm/yyy hh:mm:ss"))</f>
        <v>[…]09/08/2024 09:13:03</v>
      </c>
    </row>
    <row r="7" spans="1:6">
      <c r="A7" s="108"/>
      <c r="B7" s="108" t="s">
        <v>223</v>
      </c>
      <c r="C7" s="108" t="s">
        <v>224</v>
      </c>
      <c r="D7" s="108" t="s">
        <v>222</v>
      </c>
      <c r="E7" s="108" t="s">
        <v>217</v>
      </c>
      <c r="F7" t="str">
        <f ca="1">MID(CELL("filename"),SEARCH("[",CELL("filename"))+1,SEARCH("]",CELL("filename"))-SEARCH("[",CELL("filename"))-1)</f>
        <v>Past delivery tables.xlsx</v>
      </c>
    </row>
    <row r="8" spans="1:6">
      <c r="A8" s="108"/>
      <c r="B8" s="108" t="s">
        <v>225</v>
      </c>
      <c r="C8" s="108" t="s">
        <v>226</v>
      </c>
      <c r="D8" s="108" t="s">
        <v>222</v>
      </c>
      <c r="E8" s="108" t="s">
        <v>217</v>
      </c>
      <c r="F8" t="s">
        <v>227</v>
      </c>
    </row>
    <row r="9" spans="1:6">
      <c r="A9" s="108"/>
      <c r="B9" s="108" t="s">
        <v>228</v>
      </c>
      <c r="C9" s="108" t="s">
        <v>229</v>
      </c>
      <c r="D9" s="108" t="s">
        <v>230</v>
      </c>
      <c r="E9" s="108" t="s">
        <v>217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5729E174D4A4786D047E3AA459AE6" ma:contentTypeVersion="15" ma:contentTypeDescription="Create a new document." ma:contentTypeScope="" ma:versionID="cc77653cb9af846d28a29faf24ef32ce">
  <xsd:schema xmlns:xsd="http://www.w3.org/2001/XMLSchema" xmlns:xs="http://www.w3.org/2001/XMLSchema" xmlns:p="http://schemas.microsoft.com/office/2006/metadata/properties" xmlns:ns2="fad29565-56de-4760-a31e-ef063b1ca510" xmlns:ns3="1cd42318-77a4-4205-8fcf-c5408423388f" targetNamespace="http://schemas.microsoft.com/office/2006/metadata/properties" ma:root="true" ma:fieldsID="3c30d42f9068f7459833bcbd1da26265" ns2:_="" ns3:_="">
    <xsd:import namespace="fad29565-56de-4760-a31e-ef063b1ca510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aterlead" minOccurs="0"/>
                <xsd:element ref="ns2:Wastewaterlead" minOccurs="0"/>
                <xsd:element ref="ns2:Regulationlead" minOccurs="0"/>
                <xsd:element ref="ns2:Water_x002f_waste_x002f_both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29565-56de-4760-a31e-ef063b1ca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aterlead" ma:index="12" nillable="true" ma:displayName="Water lead" ma:format="Dropdown" ma:list="UserInfo" ma:SharePointGroup="0" ma:internalName="Water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astewaterlead" ma:index="13" nillable="true" ma:displayName="Wastewater lead" ma:format="Dropdown" ma:list="UserInfo" ma:SharePointGroup="0" ma:internalName="Wastewater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ionlead" ma:index="14" nillable="true" ma:displayName="Regulation lead" ma:format="Dropdown" ma:list="UserInfo" ma:SharePointGroup="0" ma:internalName="Regulationlea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ater_x002f_waste_x002f_both" ma:index="15" nillable="true" ma:displayName="Water/waste/both" ma:format="Dropdown" ma:internalName="Water_x002f_waste_x002f_both">
      <xsd:simpleType>
        <xsd:restriction base="dms:Choice">
          <xsd:enumeration value="Water"/>
          <xsd:enumeration value="Wastewater"/>
          <xsd:enumeration value="Both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d29565-56de-4760-a31e-ef063b1ca510">
      <Terms xmlns="http://schemas.microsoft.com/office/infopath/2007/PartnerControls"/>
    </lcf76f155ced4ddcb4097134ff3c332f>
    <TaxCatchAll xmlns="1cd42318-77a4-4205-8fcf-c5408423388f" xsi:nil="true"/>
    <Regulationlead xmlns="fad29565-56de-4760-a31e-ef063b1ca510">
      <UserInfo>
        <DisplayName/>
        <AccountId xsi:nil="true"/>
        <AccountType/>
      </UserInfo>
    </Regulationlead>
    <Wastewaterlead xmlns="fad29565-56de-4760-a31e-ef063b1ca510">
      <UserInfo>
        <DisplayName/>
        <AccountId xsi:nil="true"/>
        <AccountType/>
      </UserInfo>
    </Wastewaterlead>
    <Water_x002f_waste_x002f_both xmlns="fad29565-56de-4760-a31e-ef063b1ca510" xsi:nil="true"/>
    <Waterlead xmlns="fad29565-56de-4760-a31e-ef063b1ca510">
      <UserInfo>
        <DisplayName/>
        <AccountId xsi:nil="true"/>
        <AccountType/>
      </UserInfo>
    </Waterlead>
  </documentManagement>
</p:properties>
</file>

<file path=customXml/itemProps1.xml><?xml version="1.0" encoding="utf-8"?>
<ds:datastoreItem xmlns:ds="http://schemas.openxmlformats.org/officeDocument/2006/customXml" ds:itemID="{E7CDF28C-FE7E-4F71-A8F8-FDA9D6E2E6FE}"/>
</file>

<file path=customXml/itemProps2.xml><?xml version="1.0" encoding="utf-8"?>
<ds:datastoreItem xmlns:ds="http://schemas.openxmlformats.org/officeDocument/2006/customXml" ds:itemID="{054235FE-CF43-44BE-95B5-FC1A60AE8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865F4-F9DB-4AC1-8589-1E6947522C08}">
  <ds:schemaRefs>
    <ds:schemaRef ds:uri="http://schemas.microsoft.com/office/2006/metadata/properties"/>
    <ds:schemaRef ds:uri="http://schemas.microsoft.com/office/infopath/2007/PartnerControls"/>
    <ds:schemaRef ds:uri="307abaa3-da97-4002-88b1-9d2d708ebea3"/>
    <ds:schemaRef ds:uri="71c95305-930c-4d63-9794-2d64434305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</vt:lpstr>
      <vt:lpstr>Model formatting</vt:lpstr>
      <vt:lpstr>ToC</vt:lpstr>
      <vt:lpstr>InputsR</vt:lpstr>
      <vt:lpstr>InputsC</vt:lpstr>
      <vt:lpstr>Time</vt:lpstr>
      <vt:lpstr>Index</vt:lpstr>
      <vt:lpstr>Calc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2024-06-19T15:20:21Z</dcterms:created>
  <dcterms:modified xsi:type="dcterms:W3CDTF">2024-08-09T08:13:46Z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746300</vt:r8>
  </property>
  <property fmtid="{D5CDD505-2E9C-101B-9397-08002B2CF9AE}" pid="3" name="j014a7bd3fd34d828fc493e84f684b49">
    <vt:lpwstr/>
  </property>
  <property fmtid="{D5CDD505-2E9C-101B-9397-08002B2CF9AE}" pid="4" name="Meeting">
    <vt:lpwstr/>
  </property>
  <property fmtid="{D5CDD505-2E9C-101B-9397-08002B2CF9AE}" pid="5" name="b2faa34e97554b63aaaf45270201a270">
    <vt:lpwstr/>
  </property>
  <property fmtid="{D5CDD505-2E9C-101B-9397-08002B2CF9AE}" pid="6" name="Folder Audit History">
    <vt:lpwstr/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Stakeholder 2">
    <vt:lpwstr/>
  </property>
  <property fmtid="{D5CDD505-2E9C-101B-9397-08002B2CF9AE}" pid="10" name="ContentTypeId">
    <vt:lpwstr>0x0101001045729E174D4A4786D047E3AA459AE6</vt:lpwstr>
  </property>
  <property fmtid="{D5CDD505-2E9C-101B-9397-08002B2CF9AE}" pid="11" name="Hierarchy">
    <vt:lpwstr/>
  </property>
  <property fmtid="{D5CDD505-2E9C-101B-9397-08002B2CF9AE}" pid="12" name="Collection">
    <vt:lpwstr/>
  </property>
  <property fmtid="{D5CDD505-2E9C-101B-9397-08002B2CF9AE}" pid="13" name="TemplateUrl">
    <vt:lpwstr/>
  </property>
  <property fmtid="{D5CDD505-2E9C-101B-9397-08002B2CF9AE}" pid="14" name="m279c8e365374608a4eb2bb657f838c2">
    <vt:lpwstr/>
  </property>
  <property fmtid="{D5CDD505-2E9C-101B-9397-08002B2CF9AE}" pid="15" name="Asset">
    <vt:lpwstr/>
  </property>
  <property fmtid="{D5CDD505-2E9C-101B-9397-08002B2CF9AE}" pid="16" name="Project Code">
    <vt:lpwstr>1896;#Company performance monitoring ＆ engagement|3cbb2248-aeb0-4f5e-8833-d72f52afb8f0</vt:lpwstr>
  </property>
  <property fmtid="{D5CDD505-2E9C-101B-9397-08002B2CF9AE}" pid="17" name="j7c77f2a1a924badb0d621542422dc19">
    <vt:lpwstr/>
  </property>
  <property fmtid="{D5CDD505-2E9C-101B-9397-08002B2CF9AE}" pid="18" name="Stakeholder 3">
    <vt:lpwstr/>
  </property>
  <property fmtid="{D5CDD505-2E9C-101B-9397-08002B2CF9AE}" pid="19" name="_CopySource">
    <vt:lpwstr/>
  </property>
  <property fmtid="{D5CDD505-2E9C-101B-9397-08002B2CF9AE}" pid="20" name="oe9d4f963f4c420b8d2b35d038476850">
    <vt:lpwstr>Company performance monitoring ＆ engagement|3cbb2248-aeb0-4f5e-8833-d72f52afb8f0</vt:lpwstr>
  </property>
  <property fmtid="{D5CDD505-2E9C-101B-9397-08002B2CF9AE}" pid="21" name="Original Role Assignments">
    <vt:lpwstr/>
  </property>
  <property fmtid="{D5CDD505-2E9C-101B-9397-08002B2CF9AE}" pid="22" name="Stakeholder">
    <vt:lpwstr>25;#Water and wastewater companies (WaSCs)|1f450446-47d1-4fe9-8d64-c249a3be1897</vt:lpwstr>
  </property>
  <property fmtid="{D5CDD505-2E9C-101B-9397-08002B2CF9AE}" pid="23" name="Inheritance Broken by Folder Closure">
    <vt:lpwstr/>
  </property>
  <property fmtid="{D5CDD505-2E9C-101B-9397-08002B2CF9AE}" pid="24" name="Security Classification">
    <vt:lpwstr>21;#OFFICIAL|c2540f30-f875-494b-a43f-ebfb5017a6ad</vt:lpwstr>
  </property>
  <property fmtid="{D5CDD505-2E9C-101B-9397-08002B2CF9AE}" pid="25" name="b128efbe498d4e38a73555a2e7be12ea">
    <vt:lpwstr/>
  </property>
  <property fmtid="{D5CDD505-2E9C-101B-9397-08002B2CF9AE}" pid="26" name="Stakeholder 4">
    <vt:lpwstr/>
  </property>
  <property fmtid="{D5CDD505-2E9C-101B-9397-08002B2CF9AE}" pid="27" name="f8aa492165544285b4c7fe9d1b6ad82c">
    <vt:lpwstr/>
  </property>
  <property fmtid="{D5CDD505-2E9C-101B-9397-08002B2CF9AE}" pid="28" name="Folder Status">
    <vt:lpwstr/>
  </property>
  <property fmtid="{D5CDD505-2E9C-101B-9397-08002B2CF9AE}" pid="29" name="Stakeholder 5">
    <vt:lpwstr/>
  </property>
</Properties>
</file>