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52" documentId="13_ncr:1_{2F6B49A5-5332-4B2A-88A5-9E433BCE6C7F}" xr6:coauthVersionLast="47" xr6:coauthVersionMax="47" xr10:uidLastSave="{BC9953DB-3EDE-4645-9B25-79CD89A6A289}"/>
  <bookViews>
    <workbookView xWindow="28680" yWindow="-120" windowWidth="29040" windowHeight="15840" firstSheet="1" activeTab="3" xr2:uid="{00000000-000D-0000-FFFF-FFFF00000000}"/>
  </bookViews>
  <sheets>
    <sheet name="Cover " sheetId="30" r:id="rId1"/>
    <sheet name="Model formatting" sheetId="18" r:id="rId2"/>
    <sheet name="ToC" sheetId="20" r:id="rId3"/>
    <sheet name="InputsR" sheetId="13" r:id="rId4"/>
    <sheet name="InputsC" sheetId="19" r:id="rId5"/>
    <sheet name="Time" sheetId="15" r:id="rId6"/>
    <sheet name="Index" sheetId="26" r:id="rId7"/>
    <sheet name="Calc" sheetId="14" r:id="rId8"/>
    <sheet name="Outputs" sheetId="24" r:id="rId9"/>
    <sheet name="F_Outputs" sheetId="32" r:id="rId10"/>
  </sheet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MacroRecalculationBehavior">0</definedName>
    <definedName name="_AtRisk_SimSetting_RandomNumberGenerator">0</definedName>
    <definedName name="_AtRisk_SimSetting_ReportOptionCustomItemsCount">0</definedName>
    <definedName name="_AtRisk_SimSetting_ReportOptionDataMode">1</definedName>
    <definedName name="_AtRisk_SimSetting_ReportOptionReportMultiSimType">1</definedName>
    <definedName name="_AtRisk_SimSetting_ReportOptionReportPlacement">1</definedName>
    <definedName name="_AtRisk_SimSetting_ReportOptionReportSelection">257</definedName>
    <definedName name="_AtRisk_SimSetting_ReportOptionReportsFileType">1</definedName>
    <definedName name="_AtRisk_SimSetting_ReportOptionSelectiveQR">FALSE</definedName>
    <definedName name="_AtRisk_SimSetting_ReportsList">257</definedName>
    <definedName name="_AtRisk_SimSetting_ShowSimulationProgressWindow">TRUE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ActiveSimulationNumber">1</definedName>
    <definedName name="_AtRisk_SimSetting_StdRecalcBehavior">1</definedName>
    <definedName name="_AtRisk_SimSetting_StdRecalcWithoutRiskStatic">0</definedName>
    <definedName name="_AtRisk_SimSetting_StdRecalcWithoutRiskStaticPercentile">0.5</definedName>
    <definedName name="CHK_TOL_TAX">#REF!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7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2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Trk_To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0" l="1"/>
  <c r="F7" i="32"/>
  <c r="F6" i="32"/>
  <c r="G108" i="14"/>
  <c r="E108" i="14"/>
  <c r="G13" i="14"/>
  <c r="F13" i="14"/>
  <c r="E13" i="14"/>
  <c r="R16" i="14" l="1"/>
  <c r="R101" i="14" s="1"/>
  <c r="Q16" i="14"/>
  <c r="Q101" i="14" s="1"/>
  <c r="P16" i="14"/>
  <c r="P101" i="14" s="1"/>
  <c r="O16" i="14"/>
  <c r="O101" i="14" s="1"/>
  <c r="N16" i="14"/>
  <c r="N101" i="14" s="1"/>
  <c r="M16" i="14"/>
  <c r="M101" i="14" s="1"/>
  <c r="L16" i="14"/>
  <c r="L101" i="14" s="1"/>
  <c r="K16" i="14"/>
  <c r="K101" i="14" s="1"/>
  <c r="J16" i="14"/>
  <c r="J101" i="14" s="1"/>
  <c r="I16" i="14"/>
  <c r="I101" i="14" s="1"/>
  <c r="G16" i="14"/>
  <c r="G101" i="14" s="1"/>
  <c r="F16" i="14"/>
  <c r="F101" i="14" s="1"/>
  <c r="E16" i="14"/>
  <c r="E101" i="14" s="1"/>
  <c r="I20" i="14" l="1"/>
  <c r="G20" i="14"/>
  <c r="F20" i="14"/>
  <c r="E20" i="14"/>
  <c r="F35" i="13" l="1"/>
  <c r="I26" i="14" l="1"/>
  <c r="G26" i="14"/>
  <c r="F26" i="14"/>
  <c r="E26" i="14"/>
  <c r="A1" i="30"/>
  <c r="I21" i="14" l="1"/>
  <c r="H21" i="14"/>
  <c r="G21" i="14"/>
  <c r="F21" i="14"/>
  <c r="E21" i="14"/>
  <c r="R122" i="14" l="1"/>
  <c r="Q122" i="14"/>
  <c r="P122" i="14"/>
  <c r="O122" i="14"/>
  <c r="N122" i="14"/>
  <c r="M122" i="14"/>
  <c r="L122" i="14"/>
  <c r="K122" i="14"/>
  <c r="J122" i="14"/>
  <c r="I122" i="14"/>
  <c r="G122" i="14"/>
  <c r="F122" i="14"/>
  <c r="E122" i="14"/>
  <c r="I104" i="14"/>
  <c r="G104" i="14"/>
  <c r="F104" i="14"/>
  <c r="E104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I15" i="14"/>
  <c r="G15" i="14"/>
  <c r="F15" i="14"/>
  <c r="E15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R9" i="14"/>
  <c r="Q9" i="14"/>
  <c r="P9" i="14"/>
  <c r="O9" i="14"/>
  <c r="N9" i="14"/>
  <c r="M9" i="14"/>
  <c r="L9" i="14"/>
  <c r="L11" i="14" s="1"/>
  <c r="L15" i="14" s="1"/>
  <c r="K9" i="14"/>
  <c r="J9" i="14"/>
  <c r="I9" i="14"/>
  <c r="G9" i="14"/>
  <c r="F9" i="14"/>
  <c r="E9" i="14"/>
  <c r="R14" i="14"/>
  <c r="Q14" i="14"/>
  <c r="P14" i="14"/>
  <c r="O14" i="14"/>
  <c r="N14" i="14"/>
  <c r="M14" i="14"/>
  <c r="L14" i="14"/>
  <c r="K14" i="14"/>
  <c r="J14" i="14"/>
  <c r="I14" i="14"/>
  <c r="G14" i="14"/>
  <c r="F14" i="14"/>
  <c r="E14" i="14"/>
  <c r="P11" i="14" l="1"/>
  <c r="P15" i="14" s="1"/>
  <c r="P18" i="14" s="1"/>
  <c r="L18" i="14"/>
  <c r="K11" i="14"/>
  <c r="O11" i="14"/>
  <c r="L104" i="14"/>
  <c r="Q11" i="14"/>
  <c r="M11" i="14"/>
  <c r="J11" i="14"/>
  <c r="N11" i="14"/>
  <c r="R11" i="14"/>
  <c r="P104" i="14" l="1"/>
  <c r="H11" i="14"/>
  <c r="H104" i="14" s="1"/>
  <c r="Q15" i="14"/>
  <c r="Q18" i="14" s="1"/>
  <c r="Q104" i="14"/>
  <c r="N15" i="14"/>
  <c r="N18" i="14" s="1"/>
  <c r="N104" i="14"/>
  <c r="J15" i="14"/>
  <c r="J18" i="14" s="1"/>
  <c r="J104" i="14"/>
  <c r="M15" i="14"/>
  <c r="M18" i="14" s="1"/>
  <c r="M104" i="14"/>
  <c r="O15" i="14"/>
  <c r="O18" i="14" s="1"/>
  <c r="O104" i="14"/>
  <c r="K15" i="14"/>
  <c r="K18" i="14" s="1"/>
  <c r="K104" i="14"/>
  <c r="R15" i="14"/>
  <c r="R18" i="14" s="1"/>
  <c r="R104" i="14"/>
  <c r="G112" i="14"/>
  <c r="E112" i="14"/>
  <c r="G111" i="14"/>
  <c r="E111" i="14"/>
  <c r="H15" i="14" l="1"/>
  <c r="I58" i="15"/>
  <c r="G58" i="15"/>
  <c r="F58" i="15"/>
  <c r="E58" i="15"/>
  <c r="I57" i="15"/>
  <c r="G57" i="15"/>
  <c r="F57" i="15"/>
  <c r="E57" i="15"/>
  <c r="Q11" i="24" l="1"/>
  <c r="P11" i="24"/>
  <c r="O11" i="24"/>
  <c r="N11" i="24"/>
  <c r="M11" i="24"/>
  <c r="L11" i="24"/>
  <c r="K11" i="24"/>
  <c r="J11" i="24"/>
  <c r="I11" i="24"/>
  <c r="G11" i="24"/>
  <c r="E11" i="24"/>
  <c r="G123" i="14"/>
  <c r="E123" i="14"/>
  <c r="G124" i="14"/>
  <c r="E124" i="14"/>
  <c r="G121" i="14"/>
  <c r="F121" i="14"/>
  <c r="E121" i="14"/>
  <c r="I9" i="24"/>
  <c r="F9" i="24"/>
  <c r="E9" i="24"/>
  <c r="G95" i="14"/>
  <c r="G9" i="24" s="1"/>
  <c r="I94" i="14"/>
  <c r="G94" i="14"/>
  <c r="F94" i="14"/>
  <c r="E94" i="14"/>
  <c r="I93" i="14"/>
  <c r="G93" i="14"/>
  <c r="F93" i="14"/>
  <c r="E93" i="14"/>
  <c r="G118" i="14" l="1"/>
  <c r="E118" i="14"/>
  <c r="G117" i="14"/>
  <c r="F117" i="14"/>
  <c r="E117" i="14"/>
  <c r="G107" i="14"/>
  <c r="E107" i="14"/>
  <c r="F102" i="14" l="1"/>
  <c r="F108" i="14" s="1"/>
  <c r="F105" i="14"/>
  <c r="F107" i="14" l="1"/>
  <c r="F111" i="14"/>
  <c r="F112" i="14"/>
  <c r="H11" i="13"/>
  <c r="H9" i="14" s="1"/>
  <c r="H9" i="13"/>
  <c r="H16" i="14" s="1"/>
  <c r="H101" i="14" s="1"/>
  <c r="I51" i="14"/>
  <c r="H51" i="14"/>
  <c r="G51" i="14"/>
  <c r="F51" i="14"/>
  <c r="E51" i="14"/>
  <c r="I44" i="14"/>
  <c r="H44" i="14"/>
  <c r="G44" i="14"/>
  <c r="F44" i="14"/>
  <c r="E44" i="14"/>
  <c r="H17" i="13"/>
  <c r="H32" i="14" s="1"/>
  <c r="H19" i="13"/>
  <c r="H21" i="13"/>
  <c r="H89" i="14" s="1"/>
  <c r="I22" i="26"/>
  <c r="H22" i="26"/>
  <c r="G22" i="26"/>
  <c r="F22" i="26"/>
  <c r="E22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G11" i="26"/>
  <c r="G21" i="26" s="1"/>
  <c r="E11" i="26"/>
  <c r="E21" i="26" s="1"/>
  <c r="F11" i="26"/>
  <c r="F21" i="26" s="1"/>
  <c r="I90" i="14"/>
  <c r="G90" i="14"/>
  <c r="F90" i="14"/>
  <c r="E90" i="14"/>
  <c r="I79" i="14"/>
  <c r="G79" i="14"/>
  <c r="F79" i="14"/>
  <c r="E79" i="14"/>
  <c r="I74" i="14"/>
  <c r="G74" i="14"/>
  <c r="F74" i="14"/>
  <c r="E74" i="14"/>
  <c r="R89" i="14"/>
  <c r="Q89" i="14"/>
  <c r="P89" i="14"/>
  <c r="O89" i="14"/>
  <c r="N89" i="14"/>
  <c r="M89" i="14"/>
  <c r="L89" i="14"/>
  <c r="K89" i="14"/>
  <c r="J89" i="14"/>
  <c r="I89" i="14"/>
  <c r="G89" i="14"/>
  <c r="F89" i="14"/>
  <c r="E89" i="14"/>
  <c r="I83" i="14"/>
  <c r="G83" i="14"/>
  <c r="F83" i="14"/>
  <c r="E83" i="14"/>
  <c r="I82" i="14"/>
  <c r="G82" i="14"/>
  <c r="F82" i="14"/>
  <c r="E82" i="14"/>
  <c r="R78" i="14"/>
  <c r="Q78" i="14"/>
  <c r="P78" i="14"/>
  <c r="O78" i="14"/>
  <c r="N78" i="14"/>
  <c r="M78" i="14"/>
  <c r="L78" i="14"/>
  <c r="K78" i="14"/>
  <c r="J78" i="14"/>
  <c r="I78" i="14"/>
  <c r="G78" i="14"/>
  <c r="F78" i="14"/>
  <c r="E78" i="14"/>
  <c r="I77" i="14"/>
  <c r="H77" i="14"/>
  <c r="G77" i="14"/>
  <c r="F77" i="14"/>
  <c r="E77" i="14"/>
  <c r="I72" i="14"/>
  <c r="H72" i="14"/>
  <c r="G72" i="14"/>
  <c r="F72" i="14"/>
  <c r="E72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I64" i="14"/>
  <c r="G64" i="14"/>
  <c r="F64" i="14"/>
  <c r="E64" i="14"/>
  <c r="I63" i="14"/>
  <c r="G63" i="14"/>
  <c r="F63" i="14"/>
  <c r="E63" i="14"/>
  <c r="I58" i="14"/>
  <c r="G58" i="14"/>
  <c r="F58" i="14"/>
  <c r="I57" i="14"/>
  <c r="G57" i="14"/>
  <c r="F57" i="14"/>
  <c r="E58" i="14"/>
  <c r="E57" i="14"/>
  <c r="R52" i="14"/>
  <c r="Q52" i="14"/>
  <c r="P52" i="14"/>
  <c r="O52" i="14"/>
  <c r="N52" i="14"/>
  <c r="M52" i="14"/>
  <c r="L52" i="14"/>
  <c r="K52" i="14"/>
  <c r="J52" i="14"/>
  <c r="I52" i="14"/>
  <c r="G52" i="14"/>
  <c r="F52" i="14"/>
  <c r="E52" i="14"/>
  <c r="I50" i="14"/>
  <c r="H50" i="14"/>
  <c r="G50" i="14"/>
  <c r="F50" i="14"/>
  <c r="E50" i="14"/>
  <c r="I45" i="14"/>
  <c r="G45" i="14"/>
  <c r="F45" i="14"/>
  <c r="E45" i="14"/>
  <c r="I43" i="14"/>
  <c r="H43" i="14"/>
  <c r="G43" i="14"/>
  <c r="F43" i="14"/>
  <c r="E43" i="14"/>
  <c r="I40" i="14"/>
  <c r="I88" i="14" s="1"/>
  <c r="G40" i="14"/>
  <c r="G73" i="14" s="1"/>
  <c r="F40" i="14"/>
  <c r="F73" i="14" s="1"/>
  <c r="E40" i="14"/>
  <c r="E88" i="14" s="1"/>
  <c r="I39" i="14"/>
  <c r="G39" i="14"/>
  <c r="F39" i="14"/>
  <c r="E39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I33" i="14"/>
  <c r="G33" i="14"/>
  <c r="F33" i="14"/>
  <c r="E33" i="14"/>
  <c r="R32" i="14"/>
  <c r="Q32" i="14"/>
  <c r="P32" i="14"/>
  <c r="O32" i="14"/>
  <c r="N32" i="14"/>
  <c r="M32" i="14"/>
  <c r="L32" i="14"/>
  <c r="K32" i="14"/>
  <c r="J32" i="14"/>
  <c r="I32" i="14"/>
  <c r="G32" i="14"/>
  <c r="F32" i="14"/>
  <c r="E32" i="14"/>
  <c r="J27" i="14"/>
  <c r="I27" i="14"/>
  <c r="G27" i="14"/>
  <c r="F27" i="14"/>
  <c r="E27" i="14"/>
  <c r="I25" i="26"/>
  <c r="J26" i="26" s="1"/>
  <c r="H25" i="26"/>
  <c r="G25" i="26"/>
  <c r="F25" i="26"/>
  <c r="E25" i="26"/>
  <c r="R13" i="26"/>
  <c r="Q13" i="26"/>
  <c r="P13" i="26"/>
  <c r="O13" i="26"/>
  <c r="N13" i="26"/>
  <c r="M13" i="26"/>
  <c r="M17" i="26" s="1"/>
  <c r="L13" i="26"/>
  <c r="L17" i="26" s="1"/>
  <c r="L22" i="26" s="1"/>
  <c r="K13" i="26"/>
  <c r="K17" i="26" s="1"/>
  <c r="K22" i="26" s="1"/>
  <c r="J13" i="26"/>
  <c r="J17" i="26" s="1"/>
  <c r="J22" i="26" s="1"/>
  <c r="I13" i="26"/>
  <c r="H13" i="26"/>
  <c r="G13" i="26"/>
  <c r="F13" i="26"/>
  <c r="E13" i="26"/>
  <c r="A1" i="26"/>
  <c r="F8" i="20" s="1"/>
  <c r="J8" i="15"/>
  <c r="J5" i="13" s="1"/>
  <c r="J5" i="24"/>
  <c r="A1" i="24"/>
  <c r="H5" i="20" s="1"/>
  <c r="A1" i="14"/>
  <c r="F11" i="20" s="1"/>
  <c r="G65" i="15"/>
  <c r="E65" i="15"/>
  <c r="G64" i="15"/>
  <c r="E64" i="15"/>
  <c r="G63" i="15"/>
  <c r="E63" i="15"/>
  <c r="I54" i="15"/>
  <c r="G54" i="15"/>
  <c r="F54" i="15"/>
  <c r="E54" i="15"/>
  <c r="I53" i="15"/>
  <c r="G53" i="15"/>
  <c r="F53" i="15"/>
  <c r="E53" i="15"/>
  <c r="I49" i="15"/>
  <c r="G49" i="15"/>
  <c r="F49" i="15"/>
  <c r="E49" i="15"/>
  <c r="I48" i="15"/>
  <c r="G48" i="15"/>
  <c r="F48" i="15"/>
  <c r="E48" i="15"/>
  <c r="I45" i="15"/>
  <c r="H45" i="15"/>
  <c r="G45" i="15"/>
  <c r="F45" i="15"/>
  <c r="E45" i="15"/>
  <c r="G44" i="15"/>
  <c r="F44" i="15"/>
  <c r="E44" i="15"/>
  <c r="I41" i="15"/>
  <c r="J42" i="15" s="1"/>
  <c r="J48" i="15" s="1"/>
  <c r="J50" i="15" s="1"/>
  <c r="G41" i="15"/>
  <c r="F41" i="15"/>
  <c r="E41" i="15"/>
  <c r="I34" i="15"/>
  <c r="H34" i="15"/>
  <c r="G34" i="15"/>
  <c r="F34" i="15"/>
  <c r="E34" i="15"/>
  <c r="G33" i="15"/>
  <c r="F33" i="15"/>
  <c r="E33" i="15"/>
  <c r="I28" i="15"/>
  <c r="G28" i="15"/>
  <c r="F28" i="15"/>
  <c r="E28" i="15"/>
  <c r="I27" i="15"/>
  <c r="H27" i="15"/>
  <c r="G27" i="15"/>
  <c r="F27" i="15"/>
  <c r="E27" i="15"/>
  <c r="G26" i="15"/>
  <c r="F26" i="15"/>
  <c r="E26" i="15"/>
  <c r="G25" i="15"/>
  <c r="F25" i="15"/>
  <c r="E25" i="15"/>
  <c r="I19" i="15"/>
  <c r="G19" i="15"/>
  <c r="F19" i="15"/>
  <c r="E19" i="15"/>
  <c r="G18" i="15"/>
  <c r="E18" i="15"/>
  <c r="G15" i="15"/>
  <c r="F15" i="15"/>
  <c r="F16" i="15" s="1"/>
  <c r="F18" i="15" s="1"/>
  <c r="E15" i="15"/>
  <c r="I11" i="15"/>
  <c r="H11" i="15"/>
  <c r="G11" i="15"/>
  <c r="F11" i="15"/>
  <c r="E11" i="15"/>
  <c r="I5" i="15"/>
  <c r="H5" i="15"/>
  <c r="G5" i="15"/>
  <c r="F5" i="15"/>
  <c r="E5" i="15"/>
  <c r="I4" i="15"/>
  <c r="I4" i="19" s="1"/>
  <c r="E4" i="15"/>
  <c r="E4" i="14" s="1"/>
  <c r="I3" i="15"/>
  <c r="I3" i="24" s="1"/>
  <c r="E3" i="15"/>
  <c r="E3" i="14" s="1"/>
  <c r="I2" i="15"/>
  <c r="I2" i="19" s="1"/>
  <c r="E2" i="15"/>
  <c r="E2" i="13" s="1"/>
  <c r="A1" i="15"/>
  <c r="F5" i="20" s="1"/>
  <c r="A1" i="19"/>
  <c r="D8" i="20" s="1"/>
  <c r="A1" i="13"/>
  <c r="D5" i="20" s="1"/>
  <c r="A1" i="20"/>
  <c r="B8" i="20" s="1"/>
  <c r="A1" i="18"/>
  <c r="B5" i="20" s="1"/>
  <c r="E5" i="19"/>
  <c r="E4" i="13"/>
  <c r="K8" i="15"/>
  <c r="K5" i="19" s="1"/>
  <c r="J5" i="26"/>
  <c r="J5" i="19"/>
  <c r="E5" i="13"/>
  <c r="E5" i="24"/>
  <c r="K5" i="26"/>
  <c r="E5" i="14"/>
  <c r="E3" i="13"/>
  <c r="K5" i="14" l="1"/>
  <c r="E2" i="24"/>
  <c r="K5" i="15"/>
  <c r="E2" i="19"/>
  <c r="E2" i="14"/>
  <c r="K5" i="24"/>
  <c r="J20" i="14"/>
  <c r="K23" i="26"/>
  <c r="K21" i="14" s="1"/>
  <c r="I3" i="19"/>
  <c r="J5" i="14"/>
  <c r="K11" i="15"/>
  <c r="K12" i="15" s="1"/>
  <c r="K28" i="15" s="1"/>
  <c r="J11" i="15"/>
  <c r="J12" i="15" s="1"/>
  <c r="J19" i="15" s="1"/>
  <c r="J20" i="15" s="1"/>
  <c r="J21" i="15" s="1"/>
  <c r="J2" i="26" s="1"/>
  <c r="E4" i="24"/>
  <c r="J5" i="15"/>
  <c r="E4" i="19"/>
  <c r="I4" i="24"/>
  <c r="I2" i="24"/>
  <c r="J58" i="15"/>
  <c r="J54" i="15"/>
  <c r="J39" i="14"/>
  <c r="J41" i="14" s="1"/>
  <c r="J45" i="14" s="1"/>
  <c r="J64" i="14"/>
  <c r="J28" i="15"/>
  <c r="J29" i="15" s="1"/>
  <c r="J4" i="13" s="1"/>
  <c r="E3" i="19"/>
  <c r="L8" i="15"/>
  <c r="K5" i="13"/>
  <c r="E3" i="24"/>
  <c r="J43" i="14"/>
  <c r="J50" i="14"/>
  <c r="J77" i="14"/>
  <c r="J72" i="14"/>
  <c r="H78" i="14"/>
  <c r="H14" i="14"/>
  <c r="H122" i="14"/>
  <c r="H52" i="14"/>
  <c r="F113" i="14"/>
  <c r="F118" i="14" s="1"/>
  <c r="F119" i="14" s="1"/>
  <c r="F109" i="14"/>
  <c r="M22" i="26"/>
  <c r="N23" i="26" s="1"/>
  <c r="N21" i="14" s="1"/>
  <c r="M23" i="26"/>
  <c r="G88" i="14"/>
  <c r="E73" i="14"/>
  <c r="I73" i="14"/>
  <c r="F88" i="14"/>
  <c r="J23" i="26"/>
  <c r="J21" i="14" s="1"/>
  <c r="L23" i="26"/>
  <c r="L21" i="14" s="1"/>
  <c r="K19" i="15" l="1"/>
  <c r="J4" i="19"/>
  <c r="J4" i="15"/>
  <c r="J4" i="14"/>
  <c r="L5" i="14"/>
  <c r="L5" i="19"/>
  <c r="L5" i="15"/>
  <c r="L5" i="13"/>
  <c r="L5" i="26"/>
  <c r="M8" i="15"/>
  <c r="L11" i="15"/>
  <c r="L12" i="15" s="1"/>
  <c r="L5" i="24"/>
  <c r="J4" i="26"/>
  <c r="J4" i="24"/>
  <c r="M25" i="26"/>
  <c r="M21" i="14"/>
  <c r="N17" i="26"/>
  <c r="F123" i="14"/>
  <c r="F124" i="14"/>
  <c r="J2" i="24"/>
  <c r="J2" i="19"/>
  <c r="J2" i="14"/>
  <c r="J45" i="15"/>
  <c r="J46" i="15" s="1"/>
  <c r="J27" i="15"/>
  <c r="K20" i="15"/>
  <c r="K21" i="15" s="1"/>
  <c r="K34" i="15" s="1"/>
  <c r="J2" i="13"/>
  <c r="J2" i="15"/>
  <c r="J34" i="15"/>
  <c r="J35" i="15" s="1"/>
  <c r="J41" i="15" s="1"/>
  <c r="K42" i="15" s="1"/>
  <c r="J36" i="15"/>
  <c r="J57" i="15" s="1"/>
  <c r="K25" i="26"/>
  <c r="J25" i="26"/>
  <c r="K26" i="26" s="1"/>
  <c r="L25" i="26"/>
  <c r="N25" i="26"/>
  <c r="M26" i="26" l="1"/>
  <c r="F125" i="14"/>
  <c r="K27" i="15"/>
  <c r="K29" i="15" s="1"/>
  <c r="K4" i="24" s="1"/>
  <c r="L19" i="15"/>
  <c r="L20" i="15" s="1"/>
  <c r="L21" i="15" s="1"/>
  <c r="L2" i="14" s="1"/>
  <c r="L28" i="15"/>
  <c r="K2" i="19"/>
  <c r="K2" i="14"/>
  <c r="N8" i="15"/>
  <c r="M11" i="15"/>
  <c r="M12" i="15" s="1"/>
  <c r="M5" i="15"/>
  <c r="M5" i="19"/>
  <c r="M5" i="26"/>
  <c r="M5" i="24"/>
  <c r="M5" i="13"/>
  <c r="M5" i="14"/>
  <c r="N22" i="26"/>
  <c r="O17" i="26"/>
  <c r="H11" i="24"/>
  <c r="R11" i="24"/>
  <c r="K2" i="24"/>
  <c r="K2" i="26"/>
  <c r="K45" i="15"/>
  <c r="K46" i="15" s="1"/>
  <c r="K79" i="14" s="1"/>
  <c r="K2" i="15"/>
  <c r="K2" i="13"/>
  <c r="L26" i="26"/>
  <c r="L43" i="14" s="1"/>
  <c r="J49" i="15"/>
  <c r="J74" i="14"/>
  <c r="J75" i="14" s="1"/>
  <c r="J82" i="14" s="1"/>
  <c r="J79" i="14"/>
  <c r="J80" i="14" s="1"/>
  <c r="J90" i="14"/>
  <c r="K48" i="15"/>
  <c r="L2" i="19"/>
  <c r="L34" i="15"/>
  <c r="L2" i="13"/>
  <c r="L2" i="15"/>
  <c r="L2" i="26"/>
  <c r="L2" i="24"/>
  <c r="L45" i="15"/>
  <c r="K4" i="15"/>
  <c r="K4" i="13"/>
  <c r="K4" i="19"/>
  <c r="K4" i="26"/>
  <c r="K36" i="15"/>
  <c r="K35" i="15"/>
  <c r="K41" i="15" s="1"/>
  <c r="L42" i="15" s="1"/>
  <c r="J53" i="15"/>
  <c r="J59" i="15" s="1"/>
  <c r="K50" i="14"/>
  <c r="K72" i="14"/>
  <c r="K77" i="14"/>
  <c r="K43" i="14"/>
  <c r="M77" i="14"/>
  <c r="M72" i="14"/>
  <c r="M50" i="14"/>
  <c r="M43" i="14"/>
  <c r="N26" i="26"/>
  <c r="K4" i="14" l="1"/>
  <c r="L27" i="15"/>
  <c r="N5" i="19"/>
  <c r="O8" i="15"/>
  <c r="N5" i="14"/>
  <c r="N11" i="15"/>
  <c r="N12" i="15" s="1"/>
  <c r="N5" i="15"/>
  <c r="N5" i="24"/>
  <c r="N5" i="26"/>
  <c r="N5" i="13"/>
  <c r="L29" i="15"/>
  <c r="L4" i="26" s="1"/>
  <c r="K50" i="15"/>
  <c r="K58" i="15" s="1"/>
  <c r="K90" i="14"/>
  <c r="K74" i="14"/>
  <c r="M28" i="15"/>
  <c r="M19" i="15"/>
  <c r="M20" i="15" s="1"/>
  <c r="M21" i="15" s="1"/>
  <c r="M27" i="15" s="1"/>
  <c r="O23" i="26"/>
  <c r="O21" i="14" s="1"/>
  <c r="L72" i="14"/>
  <c r="P17" i="26"/>
  <c r="O22" i="26"/>
  <c r="K80" i="14"/>
  <c r="K83" i="14" s="1"/>
  <c r="J83" i="14"/>
  <c r="J84" i="14" s="1"/>
  <c r="L50" i="14"/>
  <c r="L77" i="14"/>
  <c r="J51" i="14"/>
  <c r="J44" i="14"/>
  <c r="J46" i="14" s="1"/>
  <c r="J57" i="14" s="1"/>
  <c r="K49" i="15"/>
  <c r="J55" i="15"/>
  <c r="J3" i="24" s="1"/>
  <c r="K53" i="15"/>
  <c r="K59" i="15" s="1"/>
  <c r="K57" i="15"/>
  <c r="K54" i="15"/>
  <c r="K64" i="14"/>
  <c r="K65" i="14" s="1"/>
  <c r="K27" i="14" s="1"/>
  <c r="K39" i="14"/>
  <c r="K41" i="14" s="1"/>
  <c r="K45" i="14" s="1"/>
  <c r="L4" i="24"/>
  <c r="L48" i="15"/>
  <c r="L35" i="15"/>
  <c r="L36" i="15"/>
  <c r="L57" i="15" s="1"/>
  <c r="L46" i="15"/>
  <c r="N77" i="14"/>
  <c r="N50" i="14"/>
  <c r="N43" i="14"/>
  <c r="N72" i="14"/>
  <c r="M2" i="19" l="1"/>
  <c r="M34" i="15"/>
  <c r="M2" i="15"/>
  <c r="M2" i="24"/>
  <c r="M2" i="14"/>
  <c r="M45" i="15"/>
  <c r="M46" i="15" s="1"/>
  <c r="M2" i="26"/>
  <c r="M2" i="13"/>
  <c r="J3" i="14"/>
  <c r="J3" i="15"/>
  <c r="J3" i="19"/>
  <c r="J3" i="13"/>
  <c r="J3" i="26"/>
  <c r="L4" i="15"/>
  <c r="M29" i="15"/>
  <c r="M4" i="13" s="1"/>
  <c r="L50" i="15"/>
  <c r="L58" i="15" s="1"/>
  <c r="L4" i="14"/>
  <c r="L4" i="13"/>
  <c r="N19" i="15"/>
  <c r="N20" i="15" s="1"/>
  <c r="N21" i="15" s="1"/>
  <c r="N2" i="26" s="1"/>
  <c r="N28" i="15"/>
  <c r="O5" i="24"/>
  <c r="O5" i="15"/>
  <c r="P8" i="15"/>
  <c r="O5" i="14"/>
  <c r="O5" i="13"/>
  <c r="O11" i="15"/>
  <c r="O12" i="15" s="1"/>
  <c r="O5" i="19"/>
  <c r="O5" i="26"/>
  <c r="L4" i="19"/>
  <c r="O25" i="26"/>
  <c r="O26" i="26" s="1"/>
  <c r="P23" i="26"/>
  <c r="P22" i="26"/>
  <c r="Q17" i="26"/>
  <c r="J53" i="14"/>
  <c r="J58" i="14" s="1"/>
  <c r="J59" i="14" s="1"/>
  <c r="K55" i="15"/>
  <c r="K44" i="14"/>
  <c r="K46" i="14" s="1"/>
  <c r="K57" i="14" s="1"/>
  <c r="K51" i="14"/>
  <c r="K53" i="14" s="1"/>
  <c r="K58" i="14" s="1"/>
  <c r="J93" i="14"/>
  <c r="L41" i="15"/>
  <c r="M42" i="15" s="1"/>
  <c r="L53" i="15"/>
  <c r="M35" i="15"/>
  <c r="M41" i="15" s="1"/>
  <c r="N42" i="15" s="1"/>
  <c r="M36" i="15"/>
  <c r="L49" i="15"/>
  <c r="L79" i="14"/>
  <c r="L80" i="14" s="1"/>
  <c r="L74" i="14"/>
  <c r="L90" i="14"/>
  <c r="M4" i="19"/>
  <c r="M4" i="15"/>
  <c r="N27" i="15" l="1"/>
  <c r="N29" i="15" s="1"/>
  <c r="M4" i="14"/>
  <c r="N2" i="19"/>
  <c r="N2" i="14"/>
  <c r="M4" i="24"/>
  <c r="M4" i="26"/>
  <c r="N2" i="15"/>
  <c r="L54" i="15"/>
  <c r="L59" i="15"/>
  <c r="N2" i="13"/>
  <c r="N34" i="15"/>
  <c r="N36" i="15" s="1"/>
  <c r="N57" i="15" s="1"/>
  <c r="N2" i="24"/>
  <c r="P11" i="15"/>
  <c r="P12" i="15" s="1"/>
  <c r="Q8" i="15"/>
  <c r="P5" i="14"/>
  <c r="P5" i="19"/>
  <c r="P5" i="26"/>
  <c r="P5" i="24"/>
  <c r="P5" i="13"/>
  <c r="P5" i="15"/>
  <c r="O19" i="15"/>
  <c r="O20" i="15" s="1"/>
  <c r="O21" i="15" s="1"/>
  <c r="O2" i="15" s="1"/>
  <c r="O28" i="15"/>
  <c r="N45" i="15"/>
  <c r="N46" i="15" s="1"/>
  <c r="L39" i="14"/>
  <c r="L41" i="14" s="1"/>
  <c r="L45" i="14" s="1"/>
  <c r="L64" i="14"/>
  <c r="P25" i="26"/>
  <c r="P26" i="26" s="1"/>
  <c r="P50" i="14" s="1"/>
  <c r="P21" i="14"/>
  <c r="Q23" i="26"/>
  <c r="Q21" i="14" s="1"/>
  <c r="O72" i="14"/>
  <c r="O43" i="14"/>
  <c r="O77" i="14"/>
  <c r="O50" i="14"/>
  <c r="Q22" i="26"/>
  <c r="R17" i="26"/>
  <c r="R22" i="26" s="1"/>
  <c r="K59" i="14"/>
  <c r="K63" i="14" s="1"/>
  <c r="L83" i="14"/>
  <c r="J63" i="14"/>
  <c r="M53" i="15"/>
  <c r="M57" i="15"/>
  <c r="L44" i="14"/>
  <c r="L51" i="14"/>
  <c r="L53" i="14" s="1"/>
  <c r="L58" i="14" s="1"/>
  <c r="L55" i="15"/>
  <c r="L3" i="26" s="1"/>
  <c r="K3" i="26"/>
  <c r="K3" i="14"/>
  <c r="K3" i="24"/>
  <c r="K3" i="19"/>
  <c r="K3" i="15"/>
  <c r="K3" i="13"/>
  <c r="N48" i="15"/>
  <c r="M48" i="15"/>
  <c r="M50" i="15" s="1"/>
  <c r="M58" i="15" s="1"/>
  <c r="N4" i="26"/>
  <c r="N4" i="24"/>
  <c r="N4" i="15"/>
  <c r="N4" i="13"/>
  <c r="N4" i="14"/>
  <c r="N4" i="19"/>
  <c r="M49" i="15"/>
  <c r="M74" i="14"/>
  <c r="M79" i="14"/>
  <c r="M80" i="14" s="1"/>
  <c r="M90" i="14"/>
  <c r="O2" i="24"/>
  <c r="O2" i="26"/>
  <c r="O2" i="14"/>
  <c r="O2" i="19"/>
  <c r="O27" i="15"/>
  <c r="O29" i="15" s="1"/>
  <c r="O34" i="15"/>
  <c r="O2" i="13"/>
  <c r="L3" i="14"/>
  <c r="Q25" i="26" l="1"/>
  <c r="Q26" i="26" s="1"/>
  <c r="Q50" i="14" s="1"/>
  <c r="P43" i="14"/>
  <c r="P77" i="14"/>
  <c r="P72" i="14"/>
  <c r="O45" i="15"/>
  <c r="L46" i="14"/>
  <c r="L57" i="14" s="1"/>
  <c r="L59" i="14" s="1"/>
  <c r="L63" i="14" s="1"/>
  <c r="N35" i="15"/>
  <c r="N41" i="15" s="1"/>
  <c r="O42" i="15" s="1"/>
  <c r="O46" i="15"/>
  <c r="O49" i="15" s="1"/>
  <c r="R8" i="15"/>
  <c r="Q5" i="24"/>
  <c r="Q5" i="14"/>
  <c r="Q5" i="26"/>
  <c r="Q11" i="15"/>
  <c r="Q12" i="15" s="1"/>
  <c r="Q5" i="13"/>
  <c r="Q5" i="15"/>
  <c r="Q5" i="19"/>
  <c r="P19" i="15"/>
  <c r="P20" i="15" s="1"/>
  <c r="P21" i="15" s="1"/>
  <c r="P2" i="13" s="1"/>
  <c r="P28" i="15"/>
  <c r="L3" i="13"/>
  <c r="L65" i="14"/>
  <c r="L27" i="14" s="1"/>
  <c r="R23" i="26"/>
  <c r="R21" i="14" s="1"/>
  <c r="Q43" i="14"/>
  <c r="Q72" i="14"/>
  <c r="M83" i="14"/>
  <c r="M59" i="15"/>
  <c r="M51" i="14" s="1"/>
  <c r="M53" i="14" s="1"/>
  <c r="M58" i="14" s="1"/>
  <c r="L3" i="24"/>
  <c r="L3" i="15"/>
  <c r="L3" i="19"/>
  <c r="M55" i="15"/>
  <c r="O79" i="14"/>
  <c r="O80" i="14" s="1"/>
  <c r="N50" i="15"/>
  <c r="N58" i="15" s="1"/>
  <c r="O48" i="15"/>
  <c r="P2" i="15"/>
  <c r="P2" i="24"/>
  <c r="O4" i="19"/>
  <c r="O4" i="26"/>
  <c r="O4" i="24"/>
  <c r="O4" i="13"/>
  <c r="O4" i="14"/>
  <c r="O4" i="15"/>
  <c r="M39" i="14"/>
  <c r="M41" i="14" s="1"/>
  <c r="M45" i="14" s="1"/>
  <c r="M64" i="14"/>
  <c r="M65" i="14" s="1"/>
  <c r="M27" i="14" s="1"/>
  <c r="M54" i="15"/>
  <c r="O35" i="15"/>
  <c r="O36" i="15"/>
  <c r="O57" i="15" s="1"/>
  <c r="N53" i="15"/>
  <c r="N79" i="14"/>
  <c r="N80" i="14" s="1"/>
  <c r="N49" i="15"/>
  <c r="N74" i="14"/>
  <c r="N90" i="14"/>
  <c r="Q77" i="14" l="1"/>
  <c r="P2" i="26"/>
  <c r="P2" i="14"/>
  <c r="P34" i="15"/>
  <c r="P45" i="15"/>
  <c r="P46" i="15" s="1"/>
  <c r="P27" i="15"/>
  <c r="P29" i="15" s="1"/>
  <c r="P2" i="19"/>
  <c r="O74" i="14"/>
  <c r="O90" i="14"/>
  <c r="N59" i="15"/>
  <c r="M44" i="14"/>
  <c r="M46" i="14" s="1"/>
  <c r="M57" i="14" s="1"/>
  <c r="M59" i="14" s="1"/>
  <c r="Q19" i="15"/>
  <c r="Q20" i="15" s="1"/>
  <c r="Q21" i="15" s="1"/>
  <c r="Q2" i="26" s="1"/>
  <c r="Q28" i="15"/>
  <c r="R5" i="26"/>
  <c r="R5" i="15"/>
  <c r="R5" i="24"/>
  <c r="R5" i="14"/>
  <c r="R5" i="13"/>
  <c r="R11" i="15"/>
  <c r="R12" i="15" s="1"/>
  <c r="R5" i="19"/>
  <c r="F9" i="15"/>
  <c r="F63" i="15" s="1"/>
  <c r="R25" i="26"/>
  <c r="R26" i="26" s="1"/>
  <c r="R77" i="14" s="1"/>
  <c r="O83" i="14"/>
  <c r="M3" i="14"/>
  <c r="M3" i="13"/>
  <c r="M3" i="15"/>
  <c r="M3" i="24"/>
  <c r="M3" i="26"/>
  <c r="M3" i="19"/>
  <c r="N83" i="14"/>
  <c r="P36" i="15"/>
  <c r="P35" i="15"/>
  <c r="P41" i="15" s="1"/>
  <c r="Q42" i="15" s="1"/>
  <c r="P49" i="15"/>
  <c r="P79" i="14"/>
  <c r="P80" i="14" s="1"/>
  <c r="P74" i="14"/>
  <c r="P90" i="14"/>
  <c r="O41" i="15"/>
  <c r="P42" i="15" s="1"/>
  <c r="O53" i="15"/>
  <c r="Q2" i="14"/>
  <c r="Q2" i="24"/>
  <c r="Q2" i="15"/>
  <c r="Q45" i="15"/>
  <c r="Q46" i="15" s="1"/>
  <c r="O50" i="15"/>
  <c r="O58" i="15" s="1"/>
  <c r="P4" i="26"/>
  <c r="P4" i="24"/>
  <c r="P4" i="19"/>
  <c r="P4" i="13"/>
  <c r="P4" i="14"/>
  <c r="P4" i="15"/>
  <c r="N39" i="14"/>
  <c r="N54" i="15"/>
  <c r="N55" i="15" s="1"/>
  <c r="N64" i="14"/>
  <c r="N65" i="14" s="1"/>
  <c r="N27" i="14" s="1"/>
  <c r="R72" i="14" l="1"/>
  <c r="R50" i="14"/>
  <c r="R43" i="14"/>
  <c r="Q2" i="13"/>
  <c r="Q27" i="15"/>
  <c r="Q2" i="19"/>
  <c r="R19" i="15"/>
  <c r="R20" i="15" s="1"/>
  <c r="R21" i="15" s="1"/>
  <c r="R45" i="15" s="1"/>
  <c r="R46" i="15" s="1"/>
  <c r="H46" i="15" s="1"/>
  <c r="R28" i="15"/>
  <c r="H12" i="15"/>
  <c r="Q34" i="15"/>
  <c r="Q35" i="15" s="1"/>
  <c r="Q41" i="15" s="1"/>
  <c r="R42" i="15" s="1"/>
  <c r="H42" i="15" s="1"/>
  <c r="Q29" i="15"/>
  <c r="Q4" i="14" s="1"/>
  <c r="P83" i="14"/>
  <c r="M63" i="14"/>
  <c r="O59" i="15"/>
  <c r="P53" i="15"/>
  <c r="P57" i="15"/>
  <c r="N3" i="13"/>
  <c r="N3" i="14"/>
  <c r="N3" i="19"/>
  <c r="N3" i="26"/>
  <c r="N3" i="15"/>
  <c r="N3" i="24"/>
  <c r="Q74" i="14"/>
  <c r="Q90" i="14"/>
  <c r="Q79" i="14"/>
  <c r="Q80" i="14" s="1"/>
  <c r="Q49" i="15"/>
  <c r="O64" i="14"/>
  <c r="O39" i="14"/>
  <c r="O54" i="15"/>
  <c r="O55" i="15" s="1"/>
  <c r="P48" i="15"/>
  <c r="P50" i="15" s="1"/>
  <c r="P58" i="15" s="1"/>
  <c r="Q48" i="15"/>
  <c r="Q4" i="24"/>
  <c r="Q36" i="15" l="1"/>
  <c r="Q57" i="15" s="1"/>
  <c r="R2" i="24"/>
  <c r="R2" i="15"/>
  <c r="R2" i="19"/>
  <c r="R2" i="13"/>
  <c r="Q4" i="15"/>
  <c r="R27" i="15"/>
  <c r="R29" i="15" s="1"/>
  <c r="R4" i="15" s="1"/>
  <c r="R2" i="26"/>
  <c r="Q4" i="19"/>
  <c r="Q4" i="13"/>
  <c r="Q4" i="26"/>
  <c r="R2" i="14"/>
  <c r="R34" i="15"/>
  <c r="H28" i="15"/>
  <c r="H19" i="15"/>
  <c r="O65" i="14"/>
  <c r="O27" i="14" s="1"/>
  <c r="P59" i="15"/>
  <c r="Q50" i="15"/>
  <c r="Q58" i="15" s="1"/>
  <c r="H49" i="15"/>
  <c r="H79" i="14"/>
  <c r="H74" i="14"/>
  <c r="H90" i="14"/>
  <c r="R4" i="26"/>
  <c r="R4" i="19"/>
  <c r="R4" i="14"/>
  <c r="R4" i="24"/>
  <c r="O3" i="19"/>
  <c r="O3" i="15"/>
  <c r="O3" i="13"/>
  <c r="O3" i="14"/>
  <c r="O3" i="26"/>
  <c r="O3" i="24"/>
  <c r="H48" i="15"/>
  <c r="R48" i="15"/>
  <c r="R36" i="15"/>
  <c r="R57" i="15" s="1"/>
  <c r="R35" i="15"/>
  <c r="R41" i="15" s="1"/>
  <c r="Q83" i="14"/>
  <c r="R74" i="14"/>
  <c r="R79" i="14"/>
  <c r="R80" i="14" s="1"/>
  <c r="R90" i="14"/>
  <c r="R49" i="15"/>
  <c r="P64" i="14"/>
  <c r="P54" i="15"/>
  <c r="P55" i="15" s="1"/>
  <c r="P39" i="14"/>
  <c r="Q53" i="15"/>
  <c r="Q39" i="14" l="1"/>
  <c r="Q54" i="15"/>
  <c r="Q55" i="15" s="1"/>
  <c r="R4" i="13"/>
  <c r="R50" i="15"/>
  <c r="R58" i="15" s="1"/>
  <c r="Q64" i="14"/>
  <c r="R83" i="14"/>
  <c r="Q59" i="15"/>
  <c r="F37" i="15"/>
  <c r="F64" i="15" s="1"/>
  <c r="R53" i="15"/>
  <c r="H36" i="15"/>
  <c r="H35" i="15"/>
  <c r="H41" i="15" s="1"/>
  <c r="H80" i="14"/>
  <c r="H83" i="14" s="1"/>
  <c r="F51" i="15"/>
  <c r="F65" i="15" s="1"/>
  <c r="P3" i="13"/>
  <c r="P3" i="19"/>
  <c r="P3" i="24"/>
  <c r="P3" i="14"/>
  <c r="P3" i="26"/>
  <c r="P3" i="15"/>
  <c r="Q3" i="26" l="1"/>
  <c r="Q3" i="14"/>
  <c r="Q3" i="19"/>
  <c r="R39" i="14"/>
  <c r="R64" i="14"/>
  <c r="H50" i="15"/>
  <c r="H58" i="15" s="1"/>
  <c r="R54" i="15"/>
  <c r="Q3" i="24"/>
  <c r="F66" i="15"/>
  <c r="Q3" i="15"/>
  <c r="R59" i="15"/>
  <c r="H53" i="15"/>
  <c r="H57" i="15"/>
  <c r="Q3" i="13"/>
  <c r="R55" i="15"/>
  <c r="H39" i="14"/>
  <c r="H64" i="14" l="1"/>
  <c r="H54" i="15"/>
  <c r="R3" i="15"/>
  <c r="R3" i="14"/>
  <c r="R3" i="19"/>
  <c r="R3" i="13"/>
  <c r="R3" i="26"/>
  <c r="R3" i="24"/>
  <c r="R20" i="14" l="1"/>
  <c r="Q20" i="14"/>
  <c r="K20" i="14"/>
  <c r="M20" i="14"/>
  <c r="L20" i="14"/>
  <c r="P20" i="14"/>
  <c r="O20" i="14"/>
  <c r="N20" i="14"/>
  <c r="N22" i="14" s="1"/>
  <c r="F11" i="24" l="1"/>
  <c r="F5" i="32" s="1"/>
  <c r="H18" i="14"/>
  <c r="H20" i="14" s="1"/>
  <c r="O51" i="14" l="1"/>
  <c r="O53" i="14" s="1"/>
  <c r="Q51" i="14"/>
  <c r="Q53" i="14" s="1"/>
  <c r="Q58" i="14" s="1"/>
  <c r="R51" i="14"/>
  <c r="R53" i="14" s="1"/>
  <c r="R58" i="14" s="1"/>
  <c r="Q44" i="14"/>
  <c r="Q46" i="14" s="1"/>
  <c r="Q57" i="14" s="1"/>
  <c r="P51" i="14"/>
  <c r="P53" i="14" s="1"/>
  <c r="P58" i="14" s="1"/>
  <c r="P44" i="14"/>
  <c r="N44" i="14"/>
  <c r="N51" i="14"/>
  <c r="N53" i="14" s="1"/>
  <c r="N58" i="14" s="1"/>
  <c r="R44" i="14"/>
  <c r="R46" i="14" s="1"/>
  <c r="R57" i="14" s="1"/>
  <c r="O44" i="14"/>
  <c r="R59" i="14" l="1"/>
  <c r="R63" i="14" s="1"/>
  <c r="Q59" i="14"/>
  <c r="Q63" i="14" s="1"/>
  <c r="O58" i="14"/>
  <c r="H53" i="14"/>
  <c r="H58" i="14" s="1"/>
  <c r="O22" i="14" l="1"/>
  <c r="O26" i="14" s="1"/>
  <c r="O28" i="14" s="1"/>
  <c r="O33" i="14" s="1"/>
  <c r="O34" i="14" s="1"/>
  <c r="O40" i="14" s="1"/>
  <c r="L22" i="14"/>
  <c r="L26" i="14" s="1"/>
  <c r="L28" i="14" s="1"/>
  <c r="L33" i="14" s="1"/>
  <c r="L34" i="14" s="1"/>
  <c r="L40" i="14" s="1"/>
  <c r="P22" i="14"/>
  <c r="P26" i="14" s="1"/>
  <c r="M22" i="14"/>
  <c r="M26" i="14" s="1"/>
  <c r="M28" i="14" s="1"/>
  <c r="M33" i="14" s="1"/>
  <c r="M34" i="14" s="1"/>
  <c r="M40" i="14" s="1"/>
  <c r="Q22" i="14"/>
  <c r="Q26" i="14" s="1"/>
  <c r="R22" i="14"/>
  <c r="R26" i="14" s="1"/>
  <c r="K22" i="14"/>
  <c r="K26" i="14" s="1"/>
  <c r="K28" i="14" s="1"/>
  <c r="K33" i="14" s="1"/>
  <c r="K34" i="14" s="1"/>
  <c r="K40" i="14" s="1"/>
  <c r="N26" i="14" l="1"/>
  <c r="K88" i="14"/>
  <c r="K91" i="14" s="1"/>
  <c r="K94" i="14" s="1"/>
  <c r="K73" i="14"/>
  <c r="L75" i="14" s="1"/>
  <c r="L82" i="14" s="1"/>
  <c r="L84" i="14" s="1"/>
  <c r="L93" i="14" s="1"/>
  <c r="L88" i="14"/>
  <c r="L91" i="14" s="1"/>
  <c r="L94" i="14" s="1"/>
  <c r="L73" i="14"/>
  <c r="M75" i="14" s="1"/>
  <c r="M82" i="14" s="1"/>
  <c r="M84" i="14" s="1"/>
  <c r="M93" i="14" s="1"/>
  <c r="J22" i="14"/>
  <c r="M88" i="14"/>
  <c r="M91" i="14" s="1"/>
  <c r="M94" i="14" s="1"/>
  <c r="M73" i="14"/>
  <c r="N75" i="14" s="1"/>
  <c r="N82" i="14" s="1"/>
  <c r="N84" i="14" s="1"/>
  <c r="N93" i="14" s="1"/>
  <c r="O88" i="14"/>
  <c r="O91" i="14" s="1"/>
  <c r="O94" i="14" s="1"/>
  <c r="O73" i="14"/>
  <c r="P75" i="14" s="1"/>
  <c r="P82" i="14" s="1"/>
  <c r="P84" i="14" s="1"/>
  <c r="P93" i="14" s="1"/>
  <c r="O41" i="14"/>
  <c r="O45" i="14" s="1"/>
  <c r="O46" i="14" s="1"/>
  <c r="O57" i="14" s="1"/>
  <c r="O59" i="14" s="1"/>
  <c r="O63" i="14" s="1"/>
  <c r="Q65" i="14" s="1"/>
  <c r="Q27" i="14" s="1"/>
  <c r="Q28" i="14" s="1"/>
  <c r="Q33" i="14" s="1"/>
  <c r="Q34" i="14" s="1"/>
  <c r="Q40" i="14" s="1"/>
  <c r="N28" i="14" l="1"/>
  <c r="N33" i="14" s="1"/>
  <c r="N34" i="14" s="1"/>
  <c r="N40" i="14" s="1"/>
  <c r="N88" i="14" s="1"/>
  <c r="N91" i="14" s="1"/>
  <c r="N94" i="14" s="1"/>
  <c r="N95" i="14" s="1"/>
  <c r="N9" i="24" s="1"/>
  <c r="H22" i="14"/>
  <c r="H26" i="14" s="1"/>
  <c r="J26" i="14"/>
  <c r="J28" i="14" s="1"/>
  <c r="J33" i="14" s="1"/>
  <c r="J34" i="14" s="1"/>
  <c r="J40" i="14" s="1"/>
  <c r="M95" i="14"/>
  <c r="M9" i="24" s="1"/>
  <c r="Q73" i="14"/>
  <c r="Q41" i="14"/>
  <c r="Q45" i="14" s="1"/>
  <c r="Q88" i="14"/>
  <c r="Q91" i="14" s="1"/>
  <c r="Q94" i="14" s="1"/>
  <c r="L95" i="14"/>
  <c r="L9" i="24" s="1"/>
  <c r="R75" i="14" l="1"/>
  <c r="R82" i="14" s="1"/>
  <c r="R84" i="14" s="1"/>
  <c r="R93" i="14" s="1"/>
  <c r="N41" i="14"/>
  <c r="N45" i="14" s="1"/>
  <c r="N46" i="14" s="1"/>
  <c r="N57" i="14" s="1"/>
  <c r="N59" i="14" s="1"/>
  <c r="N73" i="14"/>
  <c r="O75" i="14" s="1"/>
  <c r="O82" i="14" s="1"/>
  <c r="O84" i="14" s="1"/>
  <c r="O93" i="14" s="1"/>
  <c r="O95" i="14" s="1"/>
  <c r="O9" i="24" s="1"/>
  <c r="J88" i="14"/>
  <c r="J91" i="14" s="1"/>
  <c r="J73" i="14"/>
  <c r="K75" i="14" s="1"/>
  <c r="K82" i="14" l="1"/>
  <c r="K84" i="14" s="1"/>
  <c r="N63" i="14"/>
  <c r="P65" i="14" s="1"/>
  <c r="J94" i="14"/>
  <c r="J95" i="14" s="1"/>
  <c r="P27" i="14" l="1"/>
  <c r="P28" i="14" s="1"/>
  <c r="J9" i="24"/>
  <c r="K93" i="14"/>
  <c r="K95" i="14" s="1"/>
  <c r="K9" i="24" s="1"/>
  <c r="P33" i="14" l="1"/>
  <c r="P34" i="14" s="1"/>
  <c r="P40" i="14" l="1"/>
  <c r="P41" i="14" l="1"/>
  <c r="P73" i="14"/>
  <c r="Q75" i="14" s="1"/>
  <c r="P88" i="14"/>
  <c r="P91" i="14" s="1"/>
  <c r="P94" i="14" l="1"/>
  <c r="P95" i="14" s="1"/>
  <c r="Q82" i="14"/>
  <c r="Q84" i="14" s="1"/>
  <c r="H75" i="14"/>
  <c r="H82" i="14" s="1"/>
  <c r="P45" i="14"/>
  <c r="P46" i="14" s="1"/>
  <c r="Q93" i="14" l="1"/>
  <c r="Q95" i="14" s="1"/>
  <c r="Q9" i="24" s="1"/>
  <c r="H84" i="14"/>
  <c r="H93" i="14" s="1"/>
  <c r="P57" i="14"/>
  <c r="P59" i="14" s="1"/>
  <c r="H46" i="14"/>
  <c r="H57" i="14" s="1"/>
  <c r="P9" i="24"/>
  <c r="P63" i="14" l="1"/>
  <c r="R65" i="14" s="1"/>
  <c r="H59" i="14"/>
  <c r="H63" i="14" s="1"/>
  <c r="R27" i="14" l="1"/>
  <c r="R28" i="14" s="1"/>
  <c r="H65" i="14"/>
  <c r="H27" i="14" s="1"/>
  <c r="R33" i="14" l="1"/>
  <c r="R34" i="14" s="1"/>
  <c r="H28" i="14"/>
  <c r="H33" i="14" s="1"/>
  <c r="R40" i="14" l="1"/>
  <c r="H34" i="14"/>
  <c r="H40" i="14" s="1"/>
  <c r="H73" i="14" l="1"/>
  <c r="H88" i="14"/>
  <c r="R73" i="14"/>
  <c r="R88" i="14"/>
  <c r="R91" i="14" s="1"/>
  <c r="R41" i="14"/>
  <c r="R94" i="14" l="1"/>
  <c r="R95" i="14" s="1"/>
  <c r="H91" i="14"/>
  <c r="H94" i="14" s="1"/>
  <c r="R45" i="14"/>
  <c r="H41" i="14"/>
  <c r="H45" i="14" s="1"/>
  <c r="R9" i="24" l="1"/>
  <c r="H95" i="14"/>
  <c r="H9" i="24" s="1"/>
  <c r="F4" i="32" s="1"/>
</calcChain>
</file>

<file path=xl/sharedStrings.xml><?xml version="1.0" encoding="utf-8"?>
<sst xmlns="http://schemas.openxmlformats.org/spreadsheetml/2006/main" count="307" uniqueCount="231">
  <si>
    <t>Model name:</t>
  </si>
  <si>
    <t>Bioresources revenue reconciliation model</t>
  </si>
  <si>
    <t>Version number:</t>
  </si>
  <si>
    <t>Filename:</t>
  </si>
  <si>
    <t>Date:</t>
  </si>
  <si>
    <t>July 2024</t>
  </si>
  <si>
    <t xml:space="preserve">Author: </t>
  </si>
  <si>
    <t>Ofwat</t>
  </si>
  <si>
    <t>Contact:</t>
  </si>
  <si>
    <t>PR24@ofwat.gov.uk</t>
  </si>
  <si>
    <t>Summary of model:</t>
  </si>
  <si>
    <t>This model implements the necessary reconcilaitions for the bioresources price control.</t>
  </si>
  <si>
    <t>Disclaimer:</t>
  </si>
  <si>
    <t>None</t>
  </si>
  <si>
    <t>Known limitations of the model:</t>
  </si>
  <si>
    <t>Issue</t>
  </si>
  <si>
    <t>Details</t>
  </si>
  <si>
    <t>Model link</t>
  </si>
  <si>
    <t>Changes</t>
  </si>
  <si>
    <t>Below are details of changes to the model from the version 1.0 published on 4 March 2020. The changes fix issues that have been identified and implement improvements for clarity and ease of use.</t>
  </si>
  <si>
    <t>Category</t>
  </si>
  <si>
    <t>Sheet(s) in current model</t>
  </si>
  <si>
    <t>Description of change(s) made</t>
  </si>
  <si>
    <t>Model link(s)</t>
  </si>
  <si>
    <t>Formula Update</t>
  </si>
  <si>
    <t>Function that includes ODI adjustments in the model have been removed to avoid double counting. Calculations for unadjusted revenue and variable revenue have been removed - these are now taken from the i) output of the in-period adjustments model and ii) notification of the PR19 final determination of Price Controls.</t>
  </si>
  <si>
    <t>END OF SHEET</t>
  </si>
  <si>
    <t>SHEET TABS</t>
  </si>
  <si>
    <t>Light Yellow</t>
  </si>
  <si>
    <t>Input sheets</t>
  </si>
  <si>
    <t>No colour (default Excel tab colour)</t>
  </si>
  <si>
    <t>Calculation and documentation sheets</t>
  </si>
  <si>
    <t>Pale Blue</t>
  </si>
  <si>
    <t>Key output sheets</t>
  </si>
  <si>
    <t>Turquoise</t>
  </si>
  <si>
    <t>Quality control sheets</t>
  </si>
  <si>
    <t>Yellow</t>
  </si>
  <si>
    <t>To be completed, temporary, restructured, or deleted</t>
  </si>
  <si>
    <t>COLOUR</t>
  </si>
  <si>
    <t>Font colour only</t>
  </si>
  <si>
    <t>Blue font</t>
  </si>
  <si>
    <t>Imported from another sheet</t>
  </si>
  <si>
    <t xml:space="preserve">Red font </t>
  </si>
  <si>
    <t>Exported to another sheet (except from Input sheets)</t>
  </si>
  <si>
    <t>Black font</t>
  </si>
  <si>
    <t>Within sheet link or calculation</t>
  </si>
  <si>
    <t>Green font</t>
  </si>
  <si>
    <t>Additional descriptions</t>
  </si>
  <si>
    <t>Font + shade combinations</t>
  </si>
  <si>
    <t>Black font + Light Yellow shade</t>
  </si>
  <si>
    <t>Inputs</t>
  </si>
  <si>
    <t>Black font + Light Grey shade on entire row</t>
  </si>
  <si>
    <t xml:space="preserve">Within-worksheet counter-flow </t>
  </si>
  <si>
    <t>Blue font + Light Grey shade on entire row</t>
  </si>
  <si>
    <t xml:space="preserve">Between-worksheet counter-flow </t>
  </si>
  <si>
    <t>Empty Cell with Light Grey shade</t>
  </si>
  <si>
    <t>Empty cells being deliberately referenced</t>
  </si>
  <si>
    <t>Other</t>
  </si>
  <si>
    <t>Black font + Pale Blue shade on entire row</t>
  </si>
  <si>
    <t>Section separator</t>
  </si>
  <si>
    <t>Light Turquoise shade</t>
  </si>
  <si>
    <t>Stored/dead/hard coded outputs</t>
  </si>
  <si>
    <t>Tan shade</t>
  </si>
  <si>
    <t>Pre-model time line actuals</t>
  </si>
  <si>
    <t>Yellow shade</t>
  </si>
  <si>
    <t>Work in progress / temporary</t>
  </si>
  <si>
    <t>Lime shade</t>
  </si>
  <si>
    <t>Values or logic to be reviewed</t>
  </si>
  <si>
    <t>Error checks &amp; alerts</t>
  </si>
  <si>
    <t>Green shade</t>
  </si>
  <si>
    <t>OK</t>
  </si>
  <si>
    <t>Red shade</t>
  </si>
  <si>
    <t>Error</t>
  </si>
  <si>
    <t>Gold shade</t>
  </si>
  <si>
    <t>Alert</t>
  </si>
  <si>
    <t>ABBREVIATIONS</t>
  </si>
  <si>
    <t>chk</t>
  </si>
  <si>
    <t>Checks</t>
  </si>
  <si>
    <t>£</t>
  </si>
  <si>
    <t>Great Britain Pound</t>
  </si>
  <si>
    <t>TDS</t>
  </si>
  <si>
    <t xml:space="preserve">Tonnes Dry Solid </t>
  </si>
  <si>
    <t>END</t>
  </si>
  <si>
    <t>ASSUMPTIONS</t>
  </si>
  <si>
    <t>INPUTS</t>
  </si>
  <si>
    <t>CALCULATIONS</t>
  </si>
  <si>
    <t>OUTPUTS</t>
  </si>
  <si>
    <t>Explanation of different formatting types</t>
  </si>
  <si>
    <t>Inputs - row format</t>
  </si>
  <si>
    <t>Flags, part period factors (PPFs) and dates</t>
  </si>
  <si>
    <t>Outputs from the model</t>
  </si>
  <si>
    <t>Table of contents</t>
  </si>
  <si>
    <t>Inputs - column format</t>
  </si>
  <si>
    <t>Inflation indexation</t>
  </si>
  <si>
    <t>Calculation of changes in allowed revenue</t>
  </si>
  <si>
    <t>for bioresources</t>
  </si>
  <si>
    <t>Constant</t>
  </si>
  <si>
    <t>Unit</t>
  </si>
  <si>
    <t>Total</t>
  </si>
  <si>
    <t>A: Sludge production</t>
  </si>
  <si>
    <t>Forecast volume of sludge (FTDS)</t>
  </si>
  <si>
    <t>Actual volume of sludge (ATDS)</t>
  </si>
  <si>
    <t>ttds</t>
  </si>
  <si>
    <t>B: Bioresources in-period correction inputs</t>
  </si>
  <si>
    <t>Variable revenue - 2017-18 FYA (CPIH deflated)</t>
  </si>
  <si>
    <t>£/TDS</t>
  </si>
  <si>
    <t>Recovered revenue for bioresources</t>
  </si>
  <si>
    <t>£m</t>
  </si>
  <si>
    <t>Revised unadjusted revenue (URt) - 2017-18 FYA (CPIH deflated)</t>
  </si>
  <si>
    <t>Profit from bioresources trading</t>
  </si>
  <si>
    <t>Discount rate</t>
  </si>
  <si>
    <t>%</t>
  </si>
  <si>
    <t>C: Bioresources forecasting incentive inputs</t>
  </si>
  <si>
    <t>Penalty rate</t>
  </si>
  <si>
    <t>Deadband</t>
  </si>
  <si>
    <t>D: Inflation</t>
  </si>
  <si>
    <t>Consumer price index (including housing costs) for November</t>
  </si>
  <si>
    <t>index</t>
  </si>
  <si>
    <t>Base Consumer price index (including housing costs) for November 2016</t>
  </si>
  <si>
    <t>CPIH Nov-Nov % change - Base case</t>
  </si>
  <si>
    <t>A: Time</t>
  </si>
  <si>
    <t>First date of time ruler</t>
  </si>
  <si>
    <t>date</t>
  </si>
  <si>
    <t>First Modelling Column Financial Year Number</t>
  </si>
  <si>
    <t>count</t>
  </si>
  <si>
    <t>Financial Year End Month Number</t>
  </si>
  <si>
    <t>month #</t>
  </si>
  <si>
    <t>Last Pre Forecast Date</t>
  </si>
  <si>
    <t>Last Pre Forecast Flag</t>
  </si>
  <si>
    <t>B: Non changeable inputs</t>
  </si>
  <si>
    <t>Units in a million</t>
  </si>
  <si>
    <t>unit</t>
  </si>
  <si>
    <t>Units in a thousand</t>
  </si>
  <si>
    <t>Check Tolerance Level</t>
  </si>
  <si>
    <t>tolerance</t>
  </si>
  <si>
    <t xml:space="preserve">Model column counter </t>
  </si>
  <si>
    <t>Model column counter</t>
  </si>
  <si>
    <t>counter</t>
  </si>
  <si>
    <t>Model column total</t>
  </si>
  <si>
    <t>columns</t>
  </si>
  <si>
    <t>First model column flag</t>
  </si>
  <si>
    <t>flag</t>
  </si>
  <si>
    <t>Model period beginning</t>
  </si>
  <si>
    <t>First model period BEG</t>
  </si>
  <si>
    <t>month</t>
  </si>
  <si>
    <t>Model Period Beginning</t>
  </si>
  <si>
    <t>Model Period Ending</t>
  </si>
  <si>
    <t>FINANCIAL YEAR</t>
  </si>
  <si>
    <t>Financial Year Ending</t>
  </si>
  <si>
    <t>year #</t>
  </si>
  <si>
    <t>PRE FORECAST PERIOD</t>
  </si>
  <si>
    <t>Pre Forecast Period Flag</t>
  </si>
  <si>
    <t>Pre Forecast Period Total</t>
  </si>
  <si>
    <t>FORECAST PERIOD</t>
  </si>
  <si>
    <t>1st Forecast Period Flag</t>
  </si>
  <si>
    <t>Last Forecast Period Flag</t>
  </si>
  <si>
    <t>Forecast Period Flag</t>
  </si>
  <si>
    <t xml:space="preserve">Forecast Period Total </t>
  </si>
  <si>
    <t>Pre Forecast vs Forecast</t>
  </si>
  <si>
    <t>Forecast period counter</t>
  </si>
  <si>
    <t>Model Period Check</t>
  </si>
  <si>
    <t>less</t>
  </si>
  <si>
    <t>Modelling Period Check</t>
  </si>
  <si>
    <t>check</t>
  </si>
  <si>
    <t>Model period ending</t>
  </si>
  <si>
    <t>Timeline label</t>
  </si>
  <si>
    <t>Financial year ending</t>
  </si>
  <si>
    <t>CPIH INDEXATION</t>
  </si>
  <si>
    <t>Nov-Nov CPIH - base index Nov 2016</t>
  </si>
  <si>
    <t>CPIH: November - index</t>
  </si>
  <si>
    <t>CPIH base year: November 2016 - indexation factor</t>
  </si>
  <si>
    <t>CPIH Nov-Nov indexation factor - CALC</t>
  </si>
  <si>
    <t>CPIH Nov-Nov - percentage increase - CALC</t>
  </si>
  <si>
    <t>End of sheet</t>
  </si>
  <si>
    <t>Calculation of modified revenue</t>
  </si>
  <si>
    <t>Modified revenue - 2017-18 FYA (CPIH deflated)</t>
  </si>
  <si>
    <t>Modified revenue</t>
  </si>
  <si>
    <t>Allowed revenue - application of an in-period revenue correction</t>
  </si>
  <si>
    <t>Allowed revenue</t>
  </si>
  <si>
    <t>Revenue over / under recovery</t>
  </si>
  <si>
    <t>Revenue imbalance</t>
  </si>
  <si>
    <t>Bioresources revenue adjustment (ABR)</t>
  </si>
  <si>
    <t>Bioresources revenue adjustment (ABR) - with financing adjustment</t>
  </si>
  <si>
    <t>Bioresources revenue adjustment (ABR) - with financing adjustment &amp; 2 year lag of inflation</t>
  </si>
  <si>
    <t>Profit from bioresources trading adjustment</t>
  </si>
  <si>
    <t>Profit from bioresources trading - with 2 year lag of inflation</t>
  </si>
  <si>
    <t>Total revenue adjustment calculation</t>
  </si>
  <si>
    <t>Total revenue adjustment</t>
  </si>
  <si>
    <t>Adjustment to allowed revenue</t>
  </si>
  <si>
    <t>Total adjustment to allowed revenue including over / under recovery true up</t>
  </si>
  <si>
    <t>2 PD LK BCK</t>
  </si>
  <si>
    <t>Application of adjustments in last two years at the end of AMP7</t>
  </si>
  <si>
    <t>Year 4 - One year of CPIH and financing costs adjustments applied</t>
  </si>
  <si>
    <t>Value of year 4 bioresources revenue adjustment (ABR) to be applied in PR24</t>
  </si>
  <si>
    <t>Value of other year 4 revenue adjustments to be applied in PR24</t>
  </si>
  <si>
    <t>Value of year 4 total bioresources revenue adjustment to be applied in PR24</t>
  </si>
  <si>
    <t>Year 5 - No CPIH and financing costs adjustments applied</t>
  </si>
  <si>
    <t>Value of year 5 total bioresources revenue adjustment to be applied in PR24</t>
  </si>
  <si>
    <t>Total bioresources revenue adjustment to be applied in PR24</t>
  </si>
  <si>
    <t>Bioresources FAIM calculation</t>
  </si>
  <si>
    <t>Sludge production forecasting error</t>
  </si>
  <si>
    <t>Absolute Forecast Error</t>
  </si>
  <si>
    <t>Forecast Error %</t>
  </si>
  <si>
    <t>Calculation of penalty</t>
  </si>
  <si>
    <t>Penalty required ?</t>
  </si>
  <si>
    <t>Boolean</t>
  </si>
  <si>
    <t>Bioresources forecasting accuracy incentive penalty - 2017-18 FYA (CPIH deflated)</t>
  </si>
  <si>
    <t>Bioresources outputs</t>
  </si>
  <si>
    <t>End</t>
  </si>
  <si>
    <t>PR24PD07_OUT</t>
  </si>
  <si>
    <t>Acronym</t>
  </si>
  <si>
    <t>Reference</t>
  </si>
  <si>
    <t>Item description</t>
  </si>
  <si>
    <t>Model</t>
  </si>
  <si>
    <t>2024-25</t>
  </si>
  <si>
    <t>C_PR24PD07_PD12_20BIO_PR24</t>
  </si>
  <si>
    <t xml:space="preserve">PR19 Bioresources revenue adjustment in 2024-25 prior November (CPIH deflated) prices (BR) </t>
  </si>
  <si>
    <t>Price Review 2024</t>
  </si>
  <si>
    <t>C_PR24PD07_PD12_21BIO_PR24</t>
  </si>
  <si>
    <t xml:space="preserve">PR19 Bioresources forecasting accuracy incentive penalty in 2017-18 FYA (CPIH deflated) prices (BR) </t>
  </si>
  <si>
    <t>PR24QA_PR24PD07_OUT1</t>
  </si>
  <si>
    <t>Date &amp; Time for Model - PR24PD07</t>
  </si>
  <si>
    <t>Text</t>
  </si>
  <si>
    <t>PR24QA_PR24PD07_OUT2</t>
  </si>
  <si>
    <t>Name of Model - PR24PD07</t>
  </si>
  <si>
    <t>PR24QA_PR24PD07_OUT3</t>
  </si>
  <si>
    <t>F_Inputs time stamp - PR24PD07</t>
  </si>
  <si>
    <t>N/A</t>
  </si>
  <si>
    <t>PR24QA_PR24PD07_OUT4</t>
  </si>
  <si>
    <t>Model override switch for - PR24PD07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</si>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</sst>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-* #,##0_-;\-* #,##0_-;_-* &quot;-&quot;??_-;_-@_-"/>
    <numFmt numFmtId="165" formatCode="#,##0_);\(#,##0\);&quot;-  &quot;;&quot; &quot;@"/>
    <numFmt numFmtId="166" formatCode="dd\ mmm\ yy_);\(###0\);&quot;-  &quot;;&quot; &quot;@&quot; &quot;"/>
    <numFmt numFmtId="167" formatCode="dd\ mmm\ yy_);;&quot;-  &quot;;&quot; &quot;@&quot; &quot;"/>
    <numFmt numFmtId="168" formatCode="#,##0_);\(#,##0\);&quot;-  &quot;;&quot; &quot;@&quot; &quot;"/>
    <numFmt numFmtId="169" formatCode="0.00%_);\-0.00%_);&quot;-  &quot;;&quot; &quot;@&quot; &quot;"/>
    <numFmt numFmtId="170" formatCode="#,##0.0000_);\(#,##0.0000\);&quot;-  &quot;;&quot; &quot;@&quot; &quot;"/>
    <numFmt numFmtId="171" formatCode="dd\ mmm\ yyyy_);\(###0\);&quot;-  &quot;;&quot; &quot;@&quot; &quot;"/>
    <numFmt numFmtId="172" formatCode="###0_);\(###0\);&quot;-  &quot;;&quot; &quot;@&quot; &quot;"/>
    <numFmt numFmtId="173" formatCode="#,##0.0_);\(#,##0.0\);&quot;-  &quot;;&quot; &quot;@"/>
    <numFmt numFmtId="174" formatCode="dd\ mmm\ yyyy_);;&quot;-  &quot;;&quot; &quot;@&quot; &quot;"/>
    <numFmt numFmtId="175" formatCode="_(* #,##0_);_(* \(#,##0\);_(* &quot;-&quot;??_);_(@_)"/>
    <numFmt numFmtId="176" formatCode="#,##0.00_);\(#,##0.00\);&quot;-  &quot;;&quot; &quot;@&quot; &quot;"/>
    <numFmt numFmtId="177" formatCode="#,##0.0_);\(#,##0.0\);&quot;-  &quot;;&quot; &quot;@&quot; &quot;"/>
    <numFmt numFmtId="178" formatCode="###0_);\(#,##0\);&quot;-  &quot;;&quot; &quot;@"/>
    <numFmt numFmtId="179" formatCode="#,##0.000_);\(#,##0.000\);&quot;-  &quot;;&quot; &quot;@&quot; &quot;"/>
    <numFmt numFmtId="180" formatCode="0.0"/>
  </numFmts>
  <fonts count="7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i/>
      <sz val="10"/>
      <color rgb="FF00B05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20"/>
      <color theme="0"/>
      <name val="Arial"/>
      <family val="2"/>
    </font>
    <font>
      <sz val="20"/>
      <color theme="1"/>
      <name val="Arial"/>
      <family val="2"/>
    </font>
    <font>
      <i/>
      <sz val="20"/>
      <color rgb="FF00B050"/>
      <name val="Arial"/>
      <family val="2"/>
    </font>
    <font>
      <sz val="10"/>
      <color indexed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rgb="FF0000FF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b/>
      <sz val="10"/>
      <color rgb="FF0000FF"/>
      <name val="+mj-lt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Franklin Gothic Demi"/>
      <family val="2"/>
    </font>
    <font>
      <b/>
      <sz val="11"/>
      <name val="Arial"/>
      <family val="2"/>
    </font>
    <font>
      <sz val="11"/>
      <color rgb="FF0000FF"/>
      <name val="Calibri"/>
      <family val="2"/>
      <scheme val="minor"/>
    </font>
    <font>
      <b/>
      <sz val="10"/>
      <color theme="1"/>
      <name val="+mj-lt"/>
    </font>
    <font>
      <i/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24"/>
      <color theme="0"/>
      <name val="Franklin Gothic Demi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b/>
      <sz val="22.5"/>
      <color theme="0"/>
      <name val="Franklin Gothic Demi"/>
      <family val="2"/>
    </font>
    <font>
      <i/>
      <sz val="12"/>
      <color theme="0"/>
      <name val="Franklin Gothic Demi"/>
      <family val="2"/>
    </font>
    <font>
      <sz val="12"/>
      <color rgb="FF000000"/>
      <name val="Franklin Gothic Book"/>
      <family val="2"/>
    </font>
    <font>
      <i/>
      <sz val="12"/>
      <color rgb="FF000000"/>
      <name val="Franklin Gothic Demi"/>
      <family val="2"/>
    </font>
    <font>
      <u/>
      <sz val="12"/>
      <color theme="0"/>
      <name val="Franklin Gothic Demi"/>
      <family val="2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DE6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rgb="FF003479"/>
        <bgColor indexed="64"/>
      </patternFill>
    </fill>
    <fill>
      <patternFill patternType="solid">
        <fgColor rgb="FFD740A2"/>
        <bgColor indexed="64"/>
      </patternFill>
    </fill>
    <fill>
      <patternFill patternType="lightUp">
        <bgColor rgb="FF003479"/>
      </patternFill>
    </fill>
    <fill>
      <patternFill patternType="solid">
        <fgColor rgb="FFE0DC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99CC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717362"/>
      </right>
      <top style="thin">
        <color indexed="64"/>
      </top>
      <bottom style="thin">
        <color indexed="64"/>
      </bottom>
      <diagonal/>
    </border>
    <border>
      <left style="hair">
        <color rgb="FF7173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5">
    <xf numFmtId="168" fontId="0" fillId="0" borderId="0" applyFont="0" applyFill="0" applyBorder="0" applyProtection="0">
      <alignment vertical="top"/>
    </xf>
    <xf numFmtId="43" fontId="10" fillId="0" borderId="0" applyFont="0" applyFill="0" applyBorder="0" applyAlignment="0" applyProtection="0"/>
    <xf numFmtId="169" fontId="10" fillId="0" borderId="0" applyFont="0" applyFill="0" applyBorder="0" applyProtection="0">
      <alignment vertical="top"/>
    </xf>
    <xf numFmtId="166" fontId="14" fillId="0" borderId="0" applyFont="0" applyFill="0" applyBorder="0" applyProtection="0">
      <alignment vertical="top"/>
    </xf>
    <xf numFmtId="170" fontId="10" fillId="0" borderId="0" applyFont="0" applyFill="0" applyBorder="0" applyProtection="0">
      <alignment vertical="top"/>
    </xf>
    <xf numFmtId="171" fontId="10" fillId="0" borderId="0" applyFont="0" applyFill="0" applyBorder="0" applyProtection="0">
      <alignment vertical="top"/>
    </xf>
    <xf numFmtId="172" fontId="10" fillId="0" borderId="0" applyFont="0" applyFill="0" applyBorder="0" applyProtection="0">
      <alignment vertical="top"/>
    </xf>
    <xf numFmtId="167" fontId="12" fillId="0" borderId="0" applyNumberFormat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 applyNumberFormat="0" applyFill="0" applyBorder="0" applyProtection="0">
      <alignment horizontal="right" vertical="top"/>
    </xf>
    <xf numFmtId="165" fontId="15" fillId="0" borderId="0" applyNumberFormat="0" applyProtection="0">
      <alignment vertical="top"/>
    </xf>
    <xf numFmtId="0" fontId="14" fillId="0" borderId="0"/>
    <xf numFmtId="0" fontId="8" fillId="0" borderId="0"/>
    <xf numFmtId="0" fontId="8" fillId="0" borderId="0"/>
    <xf numFmtId="168" fontId="14" fillId="0" borderId="0" applyFont="0" applyFill="0" applyBorder="0" applyProtection="0">
      <alignment vertical="top"/>
    </xf>
    <xf numFmtId="166" fontId="14" fillId="0" borderId="0" applyFont="0" applyFill="0" applyBorder="0" applyProtection="0">
      <alignment vertical="top"/>
    </xf>
    <xf numFmtId="169" fontId="14" fillId="0" borderId="0" applyFont="0" applyFill="0" applyBorder="0" applyProtection="0">
      <alignment vertical="top"/>
    </xf>
    <xf numFmtId="0" fontId="7" fillId="0" borderId="0"/>
    <xf numFmtId="0" fontId="7" fillId="0" borderId="0"/>
    <xf numFmtId="168" fontId="40" fillId="0" borderId="0" applyFont="0" applyFill="0" applyBorder="0" applyProtection="0">
      <alignment vertical="top"/>
    </xf>
    <xf numFmtId="171" fontId="14" fillId="0" borderId="0" applyFont="0" applyFill="0" applyBorder="0" applyProtection="0">
      <alignment vertical="top"/>
    </xf>
    <xf numFmtId="170" fontId="14" fillId="0" borderId="0" applyFont="0" applyFill="0" applyBorder="0" applyProtection="0">
      <alignment vertical="top"/>
    </xf>
    <xf numFmtId="0" fontId="41" fillId="0" borderId="0" applyNumberFormat="0" applyFill="0" applyBorder="0" applyAlignment="0" applyProtection="0"/>
    <xf numFmtId="0" fontId="42" fillId="0" borderId="3" applyNumberFormat="0" applyFill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45" fillId="21" borderId="0" applyNumberFormat="0" applyBorder="0" applyAlignment="0" applyProtection="0"/>
    <xf numFmtId="0" fontId="46" fillId="22" borderId="0" applyNumberFormat="0" applyBorder="0" applyAlignment="0" applyProtection="0"/>
    <xf numFmtId="0" fontId="47" fillId="23" borderId="0" applyNumberFormat="0" applyBorder="0" applyAlignment="0" applyProtection="0"/>
    <xf numFmtId="0" fontId="48" fillId="24" borderId="6" applyNumberFormat="0" applyAlignment="0" applyProtection="0"/>
    <xf numFmtId="0" fontId="49" fillId="25" borderId="7" applyNumberFormat="0" applyAlignment="0" applyProtection="0"/>
    <xf numFmtId="0" fontId="50" fillId="25" borderId="6" applyNumberFormat="0" applyAlignment="0" applyProtection="0"/>
    <xf numFmtId="0" fontId="51" fillId="0" borderId="8" applyNumberFormat="0" applyFill="0" applyAlignment="0" applyProtection="0"/>
    <xf numFmtId="0" fontId="52" fillId="26" borderId="9" applyNumberFormat="0" applyAlignment="0" applyProtection="0"/>
    <xf numFmtId="0" fontId="53" fillId="0" borderId="0" applyNumberFormat="0" applyFill="0" applyBorder="0" applyAlignment="0" applyProtection="0"/>
    <xf numFmtId="0" fontId="14" fillId="27" borderId="10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11" applyNumberFormat="0" applyFill="0" applyAlignment="0" applyProtection="0"/>
    <xf numFmtId="0" fontId="5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10" fillId="49" borderId="0" applyNumberFormat="0" applyBorder="0" applyAlignment="0" applyProtection="0"/>
    <xf numFmtId="0" fontId="10" fillId="50" borderId="0" applyNumberFormat="0" applyBorder="0" applyAlignment="0" applyProtection="0"/>
    <xf numFmtId="0" fontId="56" fillId="51" borderId="0" applyNumberFormat="0" applyBorder="0" applyAlignment="0" applyProtection="0"/>
    <xf numFmtId="165" fontId="31" fillId="0" borderId="0" applyNumberFormat="0" applyFill="0" applyBorder="0" applyAlignment="0" applyProtection="0">
      <alignment vertical="top"/>
    </xf>
    <xf numFmtId="172" fontId="14" fillId="0" borderId="0" applyFont="0" applyFill="0" applyBorder="0" applyProtection="0">
      <alignment vertical="top"/>
    </xf>
    <xf numFmtId="165" fontId="14" fillId="0" borderId="0" applyFont="0" applyFill="0" applyBorder="0" applyProtection="0">
      <alignment vertical="top"/>
    </xf>
    <xf numFmtId="0" fontId="33" fillId="52" borderId="12" applyNumberFormat="0" applyFont="0" applyAlignment="0" applyProtection="0"/>
    <xf numFmtId="168" fontId="10" fillId="0" borderId="0" applyFont="0" applyFill="0" applyBorder="0" applyProtection="0">
      <alignment vertical="top"/>
    </xf>
    <xf numFmtId="43" fontId="10" fillId="0" borderId="0" applyFont="0" applyFill="0" applyBorder="0" applyAlignment="0" applyProtection="0"/>
    <xf numFmtId="169" fontId="10" fillId="0" borderId="0" applyFont="0" applyFill="0" applyBorder="0" applyProtection="0">
      <alignment vertical="top"/>
    </xf>
    <xf numFmtId="170" fontId="10" fillId="0" borderId="0" applyFont="0" applyFill="0" applyBorder="0" applyProtection="0">
      <alignment vertical="top"/>
    </xf>
    <xf numFmtId="171" fontId="10" fillId="0" borderId="0" applyFont="0" applyFill="0" applyBorder="0" applyProtection="0">
      <alignment vertical="top"/>
    </xf>
    <xf numFmtId="172" fontId="10" fillId="0" borderId="0" applyFont="0" applyFill="0" applyBorder="0" applyProtection="0">
      <alignment vertical="top"/>
    </xf>
    <xf numFmtId="0" fontId="30" fillId="0" borderId="0" applyNumberFormat="0" applyFill="0" applyBorder="0" applyAlignment="0" applyProtection="0">
      <alignment vertical="top"/>
      <protection locked="0"/>
    </xf>
    <xf numFmtId="0" fontId="63" fillId="53" borderId="0" applyNumberFormat="0" applyBorder="0" applyAlignment="0" applyProtection="0"/>
    <xf numFmtId="0" fontId="20" fillId="0" borderId="0"/>
    <xf numFmtId="0" fontId="31" fillId="0" borderId="0" applyNumberFormat="0" applyFill="0" applyBorder="0" applyAlignment="0" applyProtection="0"/>
    <xf numFmtId="0" fontId="64" fillId="0" borderId="0" applyNumberFormat="0" applyFill="0" applyAlignment="0" applyProtection="0"/>
    <xf numFmtId="0" fontId="65" fillId="54" borderId="0" applyNumberFormat="0" applyBorder="0" applyAlignment="0" applyProtection="0"/>
    <xf numFmtId="0" fontId="65" fillId="53" borderId="0" applyNumberFormat="0" applyAlignment="0" applyProtection="0"/>
    <xf numFmtId="168" fontId="14" fillId="0" borderId="0" applyFont="0" applyFill="0" applyBorder="0" applyProtection="0">
      <alignment vertical="top"/>
    </xf>
    <xf numFmtId="0" fontId="2" fillId="0" borderId="0"/>
    <xf numFmtId="165" fontId="31" fillId="0" borderId="0" applyNumberFormat="0" applyFill="0" applyBorder="0" applyAlignment="0" applyProtection="0">
      <alignment vertical="top"/>
    </xf>
    <xf numFmtId="168" fontId="20" fillId="0" borderId="0" applyFont="0" applyFill="0" applyBorder="0" applyProtection="0">
      <alignment vertical="top"/>
    </xf>
    <xf numFmtId="0" fontId="1" fillId="0" borderId="0"/>
  </cellStyleXfs>
  <cellXfs count="360">
    <xf numFmtId="168" fontId="0" fillId="0" borderId="0" xfId="0">
      <alignment vertical="top"/>
    </xf>
    <xf numFmtId="168" fontId="11" fillId="2" borderId="0" xfId="0" applyFont="1" applyFill="1">
      <alignment vertical="top"/>
    </xf>
    <xf numFmtId="43" fontId="12" fillId="0" borderId="0" xfId="1" applyFont="1" applyFill="1" applyAlignment="1">
      <alignment vertical="top"/>
    </xf>
    <xf numFmtId="43" fontId="13" fillId="0" borderId="0" xfId="1" applyFont="1" applyFill="1" applyAlignment="1">
      <alignment vertical="top"/>
    </xf>
    <xf numFmtId="43" fontId="14" fillId="0" borderId="0" xfId="1" applyFont="1" applyFill="1" applyAlignment="1">
      <alignment horizontal="right" vertical="top"/>
    </xf>
    <xf numFmtId="43" fontId="14" fillId="0" borderId="0" xfId="1" applyFont="1" applyFill="1" applyAlignment="1">
      <alignment vertical="top"/>
    </xf>
    <xf numFmtId="43" fontId="14" fillId="0" borderId="0" xfId="1" applyFont="1" applyFill="1" applyBorder="1" applyAlignment="1">
      <alignment vertical="top"/>
    </xf>
    <xf numFmtId="166" fontId="12" fillId="0" borderId="0" xfId="3" applyFont="1" applyFill="1" applyBorder="1">
      <alignment vertical="top"/>
    </xf>
    <xf numFmtId="166" fontId="14" fillId="0" borderId="0" xfId="3" applyFont="1" applyFill="1" applyBorder="1">
      <alignment vertical="top"/>
    </xf>
    <xf numFmtId="166" fontId="12" fillId="0" borderId="0" xfId="3" applyFont="1" applyFill="1" applyBorder="1" applyAlignment="1">
      <alignment horizontal="right" vertical="top"/>
    </xf>
    <xf numFmtId="43" fontId="12" fillId="0" borderId="0" xfId="1" applyFont="1" applyAlignment="1">
      <alignment vertical="top"/>
    </xf>
    <xf numFmtId="43" fontId="14" fillId="0" borderId="0" xfId="1" applyFont="1" applyAlignment="1">
      <alignment horizontal="right" vertical="top"/>
    </xf>
    <xf numFmtId="43" fontId="14" fillId="0" borderId="0" xfId="1" applyFont="1" applyAlignment="1">
      <alignment vertical="top"/>
    </xf>
    <xf numFmtId="43" fontId="14" fillId="0" borderId="0" xfId="1" applyFont="1" applyFill="1" applyBorder="1" applyAlignment="1">
      <alignment horizontal="right" vertical="top"/>
    </xf>
    <xf numFmtId="43" fontId="12" fillId="0" borderId="0" xfId="1" applyFont="1" applyFill="1" applyBorder="1" applyAlignment="1">
      <alignment vertical="top"/>
    </xf>
    <xf numFmtId="43" fontId="16" fillId="0" borderId="0" xfId="1" applyFont="1" applyFill="1" applyAlignment="1">
      <alignment vertical="top"/>
    </xf>
    <xf numFmtId="43" fontId="17" fillId="0" borderId="0" xfId="1" applyFont="1" applyFill="1" applyAlignment="1">
      <alignment vertical="top"/>
    </xf>
    <xf numFmtId="43" fontId="18" fillId="0" borderId="0" xfId="1" applyFont="1" applyFill="1" applyAlignment="1">
      <alignment vertical="top"/>
    </xf>
    <xf numFmtId="164" fontId="16" fillId="0" borderId="0" xfId="1" applyNumberFormat="1" applyFont="1" applyFill="1" applyAlignment="1">
      <alignment vertical="top"/>
    </xf>
    <xf numFmtId="168" fontId="11" fillId="0" borderId="0" xfId="0" applyFont="1" applyFill="1">
      <alignment vertical="top"/>
    </xf>
    <xf numFmtId="43" fontId="12" fillId="0" borderId="0" xfId="1" applyFont="1" applyFill="1" applyAlignment="1">
      <alignment horizontal="right" vertical="top"/>
    </xf>
    <xf numFmtId="43" fontId="14" fillId="0" borderId="0" xfId="1" applyFont="1" applyBorder="1" applyAlignment="1">
      <alignment vertical="top"/>
    </xf>
    <xf numFmtId="169" fontId="16" fillId="0" borderId="0" xfId="2" applyFont="1" applyFill="1">
      <alignment vertical="top"/>
    </xf>
    <xf numFmtId="168" fontId="12" fillId="0" borderId="0" xfId="0" applyFont="1" applyFill="1" applyBorder="1">
      <alignment vertical="top"/>
    </xf>
    <xf numFmtId="168" fontId="13" fillId="0" borderId="0" xfId="0" applyFont="1" applyFill="1" applyBorder="1">
      <alignment vertical="top"/>
    </xf>
    <xf numFmtId="168" fontId="14" fillId="0" borderId="0" xfId="0" applyFont="1" applyFill="1" applyBorder="1">
      <alignment vertical="top"/>
    </xf>
    <xf numFmtId="168" fontId="14" fillId="0" borderId="0" xfId="0" applyFont="1" applyBorder="1">
      <alignment vertical="top"/>
    </xf>
    <xf numFmtId="168" fontId="14" fillId="0" borderId="0" xfId="0" applyFont="1">
      <alignment vertical="top"/>
    </xf>
    <xf numFmtId="173" fontId="21" fillId="0" borderId="0" xfId="4" applyNumberFormat="1" applyFont="1" applyFill="1" applyBorder="1">
      <alignment vertical="top"/>
    </xf>
    <xf numFmtId="173" fontId="21" fillId="5" borderId="0" xfId="4" applyNumberFormat="1" applyFont="1" applyFill="1" applyBorder="1">
      <alignment vertical="top"/>
    </xf>
    <xf numFmtId="173" fontId="14" fillId="0" borderId="0" xfId="0" applyNumberFormat="1" applyFont="1" applyFill="1" applyBorder="1">
      <alignment vertical="top"/>
    </xf>
    <xf numFmtId="173" fontId="12" fillId="0" borderId="0" xfId="7" applyNumberFormat="1" applyFill="1" applyBorder="1">
      <alignment vertical="top"/>
    </xf>
    <xf numFmtId="173" fontId="13" fillId="0" borderId="0" xfId="8" applyNumberFormat="1" applyFill="1" applyBorder="1">
      <alignment vertical="top"/>
    </xf>
    <xf numFmtId="173" fontId="19" fillId="0" borderId="0" xfId="8" applyNumberFormat="1" applyFont="1" applyFill="1" applyBorder="1">
      <alignment vertical="top"/>
    </xf>
    <xf numFmtId="173" fontId="14" fillId="0" borderId="0" xfId="9" applyNumberFormat="1" applyFill="1" applyBorder="1">
      <alignment horizontal="right" vertical="top"/>
    </xf>
    <xf numFmtId="0" fontId="12" fillId="0" borderId="0" xfId="7" applyNumberFormat="1" applyFill="1" applyBorder="1">
      <alignment vertical="top"/>
    </xf>
    <xf numFmtId="0" fontId="13" fillId="0" borderId="0" xfId="8" applyBorder="1">
      <alignment vertical="top"/>
    </xf>
    <xf numFmtId="0" fontId="19" fillId="0" borderId="0" xfId="8" applyFont="1" applyBorder="1">
      <alignment vertical="top"/>
    </xf>
    <xf numFmtId="0" fontId="14" fillId="0" borderId="0" xfId="9" applyBorder="1">
      <alignment horizontal="right" vertical="top"/>
    </xf>
    <xf numFmtId="171" fontId="15" fillId="0" borderId="0" xfId="5" applyFont="1" applyBorder="1">
      <alignment vertical="top"/>
    </xf>
    <xf numFmtId="171" fontId="15" fillId="0" borderId="0" xfId="5" applyFont="1" applyFill="1" applyBorder="1">
      <alignment vertical="top"/>
    </xf>
    <xf numFmtId="171" fontId="16" fillId="0" borderId="0" xfId="5" applyFont="1" applyBorder="1">
      <alignment vertical="top"/>
    </xf>
    <xf numFmtId="171" fontId="14" fillId="0" borderId="0" xfId="5" applyFont="1" applyBorder="1">
      <alignment vertical="top"/>
    </xf>
    <xf numFmtId="171" fontId="14" fillId="0" borderId="0" xfId="5" applyFont="1" applyFill="1" applyBorder="1">
      <alignment vertical="top"/>
    </xf>
    <xf numFmtId="168" fontId="16" fillId="0" borderId="0" xfId="0" applyFont="1" applyBorder="1">
      <alignment vertical="top"/>
    </xf>
    <xf numFmtId="43" fontId="15" fillId="0" borderId="0" xfId="1" applyFont="1" applyBorder="1" applyAlignment="1">
      <alignment vertical="top"/>
    </xf>
    <xf numFmtId="166" fontId="14" fillId="0" borderId="0" xfId="3" applyFont="1" applyBorder="1">
      <alignment vertical="top"/>
    </xf>
    <xf numFmtId="43" fontId="21" fillId="0" borderId="0" xfId="1" applyFont="1" applyFill="1" applyBorder="1" applyAlignment="1">
      <alignment vertical="top"/>
    </xf>
    <xf numFmtId="0" fontId="13" fillId="0" borderId="0" xfId="8" applyFill="1" applyBorder="1">
      <alignment vertical="top"/>
    </xf>
    <xf numFmtId="0" fontId="19" fillId="0" borderId="0" xfId="8" applyFont="1" applyFill="1" applyBorder="1">
      <alignment vertical="top"/>
    </xf>
    <xf numFmtId="0" fontId="14" fillId="0" borderId="0" xfId="9" applyFill="1" applyBorder="1">
      <alignment horizontal="right" vertical="top"/>
    </xf>
    <xf numFmtId="0" fontId="12" fillId="0" borderId="0" xfId="7" applyNumberFormat="1" applyBorder="1">
      <alignment vertical="top"/>
    </xf>
    <xf numFmtId="167" fontId="12" fillId="0" borderId="0" xfId="7" applyBorder="1">
      <alignment vertical="top"/>
    </xf>
    <xf numFmtId="167" fontId="13" fillId="0" borderId="0" xfId="8" applyNumberFormat="1" applyFill="1" applyBorder="1">
      <alignment vertical="top"/>
    </xf>
    <xf numFmtId="167" fontId="19" fillId="0" borderId="0" xfId="8" applyNumberFormat="1" applyFont="1" applyFill="1" applyBorder="1">
      <alignment vertical="top"/>
    </xf>
    <xf numFmtId="167" fontId="14" fillId="0" borderId="0" xfId="9" applyNumberFormat="1" applyBorder="1">
      <alignment horizontal="right" vertical="top"/>
    </xf>
    <xf numFmtId="167" fontId="12" fillId="0" borderId="0" xfId="7" applyFill="1" applyBorder="1">
      <alignment vertical="top"/>
    </xf>
    <xf numFmtId="167" fontId="14" fillId="0" borderId="0" xfId="9" applyNumberFormat="1" applyFill="1" applyBorder="1">
      <alignment horizontal="right" vertical="top"/>
    </xf>
    <xf numFmtId="174" fontId="12" fillId="0" borderId="0" xfId="7" applyNumberFormat="1" applyFill="1" applyBorder="1">
      <alignment vertical="top"/>
    </xf>
    <xf numFmtId="174" fontId="13" fillId="0" borderId="0" xfId="8" applyNumberFormat="1" applyFill="1" applyBorder="1">
      <alignment vertical="top"/>
    </xf>
    <xf numFmtId="174" fontId="19" fillId="0" borderId="0" xfId="8" applyNumberFormat="1" applyFont="1" applyFill="1" applyBorder="1">
      <alignment vertical="top"/>
    </xf>
    <xf numFmtId="174" fontId="14" fillId="0" borderId="0" xfId="9" applyNumberFormat="1" applyFill="1" applyBorder="1">
      <alignment horizontal="right" vertical="top"/>
    </xf>
    <xf numFmtId="167" fontId="13" fillId="0" borderId="0" xfId="8" applyNumberFormat="1" applyBorder="1">
      <alignment vertical="top"/>
    </xf>
    <xf numFmtId="167" fontId="19" fillId="0" borderId="0" xfId="8" applyNumberFormat="1" applyFont="1" applyBorder="1">
      <alignment vertical="top"/>
    </xf>
    <xf numFmtId="166" fontId="20" fillId="0" borderId="0" xfId="3" applyFont="1" applyBorder="1">
      <alignment vertical="top"/>
    </xf>
    <xf numFmtId="175" fontId="14" fillId="0" borderId="0" xfId="0" applyNumberFormat="1" applyFont="1" applyFill="1" applyBorder="1">
      <alignment vertical="top"/>
    </xf>
    <xf numFmtId="43" fontId="20" fillId="0" borderId="0" xfId="1" applyFont="1" applyFill="1" applyBorder="1" applyAlignment="1">
      <alignment vertical="top"/>
    </xf>
    <xf numFmtId="166" fontId="20" fillId="0" borderId="0" xfId="3" applyFont="1" applyFill="1" applyBorder="1">
      <alignment vertical="top"/>
    </xf>
    <xf numFmtId="168" fontId="21" fillId="0" borderId="0" xfId="0" applyFont="1" applyBorder="1">
      <alignment vertical="top"/>
    </xf>
    <xf numFmtId="168" fontId="21" fillId="7" borderId="0" xfId="0" applyFont="1" applyFill="1" applyBorder="1">
      <alignment vertical="top"/>
    </xf>
    <xf numFmtId="168" fontId="22" fillId="8" borderId="0" xfId="0" applyFont="1" applyFill="1">
      <alignment vertical="top"/>
    </xf>
    <xf numFmtId="168" fontId="23" fillId="8" borderId="0" xfId="0" applyFont="1" applyFill="1" applyAlignment="1"/>
    <xf numFmtId="168" fontId="24" fillId="8" borderId="0" xfId="0" applyFont="1" applyFill="1" applyAlignment="1"/>
    <xf numFmtId="43" fontId="23" fillId="8" borderId="0" xfId="1" applyFont="1" applyFill="1"/>
    <xf numFmtId="43" fontId="15" fillId="0" borderId="0" xfId="1" applyFont="1" applyFill="1" applyBorder="1" applyAlignment="1">
      <alignment vertical="top"/>
    </xf>
    <xf numFmtId="43" fontId="16" fillId="0" borderId="0" xfId="1" applyFont="1" applyFill="1" applyBorder="1" applyAlignment="1">
      <alignment vertical="top"/>
    </xf>
    <xf numFmtId="171" fontId="16" fillId="0" borderId="0" xfId="5" applyFont="1" applyFill="1" applyBorder="1">
      <alignment vertical="top"/>
    </xf>
    <xf numFmtId="43" fontId="15" fillId="0" borderId="0" xfId="0" applyNumberFormat="1" applyFont="1" applyFill="1" applyBorder="1">
      <alignment vertical="top"/>
    </xf>
    <xf numFmtId="0" fontId="15" fillId="0" borderId="0" xfId="0" applyNumberFormat="1" applyFont="1" applyFill="1" applyBorder="1">
      <alignment vertical="top"/>
    </xf>
    <xf numFmtId="168" fontId="23" fillId="8" borderId="0" xfId="0" applyFont="1" applyFill="1">
      <alignment vertical="top"/>
    </xf>
    <xf numFmtId="168" fontId="12" fillId="9" borderId="0" xfId="0" applyFont="1" applyFill="1" applyBorder="1">
      <alignment vertical="top"/>
    </xf>
    <xf numFmtId="168" fontId="14" fillId="9" borderId="0" xfId="0" applyFont="1" applyFill="1" applyBorder="1">
      <alignment vertical="top"/>
    </xf>
    <xf numFmtId="168" fontId="12" fillId="9" borderId="0" xfId="0" applyFont="1" applyFill="1" applyBorder="1" applyAlignment="1">
      <alignment horizontal="left" vertical="top"/>
    </xf>
    <xf numFmtId="168" fontId="12" fillId="0" borderId="0" xfId="0" applyFont="1">
      <alignment vertical="top"/>
    </xf>
    <xf numFmtId="168" fontId="13" fillId="0" borderId="0" xfId="0" applyFont="1">
      <alignment vertical="top"/>
    </xf>
    <xf numFmtId="168" fontId="14" fillId="0" borderId="0" xfId="0" applyFont="1" applyAlignment="1">
      <alignment horizontal="right" vertical="top"/>
    </xf>
    <xf numFmtId="168" fontId="14" fillId="3" borderId="0" xfId="0" applyFont="1" applyFill="1" applyBorder="1" applyAlignment="1">
      <alignment horizontal="left" vertical="top"/>
    </xf>
    <xf numFmtId="168" fontId="14" fillId="0" borderId="0" xfId="0" applyFont="1" applyAlignment="1">
      <alignment horizontal="left" vertical="top"/>
    </xf>
    <xf numFmtId="168" fontId="14" fillId="5" borderId="0" xfId="0" applyFont="1" applyFill="1" applyBorder="1" applyAlignment="1">
      <alignment horizontal="left" vertical="top"/>
    </xf>
    <xf numFmtId="168" fontId="14" fillId="11" borderId="0" xfId="0" applyFont="1" applyFill="1" applyBorder="1" applyAlignment="1">
      <alignment horizontal="left" vertical="top"/>
    </xf>
    <xf numFmtId="168" fontId="14" fillId="12" borderId="0" xfId="0" applyFont="1" applyFill="1" applyBorder="1" applyAlignment="1">
      <alignment horizontal="left" vertical="top"/>
    </xf>
    <xf numFmtId="168" fontId="12" fillId="0" borderId="0" xfId="0" applyFont="1" applyBorder="1">
      <alignment vertical="top"/>
    </xf>
    <xf numFmtId="168" fontId="13" fillId="0" borderId="0" xfId="0" applyFont="1" applyBorder="1">
      <alignment vertical="top"/>
    </xf>
    <xf numFmtId="168" fontId="14" fillId="0" borderId="0" xfId="0" applyFont="1" applyBorder="1" applyAlignment="1">
      <alignment horizontal="right" vertical="top"/>
    </xf>
    <xf numFmtId="168" fontId="15" fillId="0" borderId="0" xfId="0" applyFont="1" applyBorder="1">
      <alignment vertical="top"/>
    </xf>
    <xf numFmtId="168" fontId="25" fillId="0" borderId="0" xfId="0" applyFont="1" applyBorder="1">
      <alignment vertical="top"/>
    </xf>
    <xf numFmtId="168" fontId="14" fillId="3" borderId="0" xfId="0" applyFont="1" applyFill="1" applyBorder="1">
      <alignment vertical="top"/>
    </xf>
    <xf numFmtId="168" fontId="14" fillId="5" borderId="0" xfId="0" applyFont="1" applyFill="1" applyBorder="1">
      <alignment vertical="top"/>
    </xf>
    <xf numFmtId="168" fontId="15" fillId="5" borderId="0" xfId="0" applyFont="1" applyFill="1" applyBorder="1">
      <alignment vertical="top"/>
    </xf>
    <xf numFmtId="168" fontId="14" fillId="10" borderId="0" xfId="0" applyFont="1" applyFill="1" applyBorder="1">
      <alignment vertical="top"/>
    </xf>
    <xf numFmtId="168" fontId="14" fillId="11" borderId="0" xfId="0" applyFont="1" applyFill="1" applyBorder="1">
      <alignment vertical="top"/>
    </xf>
    <xf numFmtId="168" fontId="14" fillId="13" borderId="0" xfId="0" applyFont="1" applyFill="1" applyBorder="1">
      <alignment vertical="top"/>
    </xf>
    <xf numFmtId="168" fontId="14" fillId="12" borderId="0" xfId="0" applyFont="1" applyFill="1" applyBorder="1">
      <alignment vertical="top"/>
    </xf>
    <xf numFmtId="168" fontId="12" fillId="0" borderId="0" xfId="0" applyFont="1" applyFill="1">
      <alignment vertical="top"/>
    </xf>
    <xf numFmtId="168" fontId="13" fillId="0" borderId="0" xfId="0" applyFont="1" applyFill="1">
      <alignment vertical="top"/>
    </xf>
    <xf numFmtId="168" fontId="14" fillId="14" borderId="0" xfId="0" applyFont="1" applyFill="1" applyBorder="1">
      <alignment vertical="top"/>
    </xf>
    <xf numFmtId="168" fontId="14" fillId="15" borderId="0" xfId="0" applyFont="1" applyFill="1" applyBorder="1">
      <alignment vertical="top"/>
    </xf>
    <xf numFmtId="168" fontId="14" fillId="16" borderId="0" xfId="0" applyFont="1" applyFill="1" applyBorder="1">
      <alignment vertical="top"/>
    </xf>
    <xf numFmtId="168" fontId="0" fillId="0" borderId="0" xfId="0" applyAlignment="1"/>
    <xf numFmtId="168" fontId="26" fillId="17" borderId="0" xfId="0" applyFont="1" applyFill="1">
      <alignment vertical="top"/>
    </xf>
    <xf numFmtId="168" fontId="0" fillId="17" borderId="0" xfId="0" applyFill="1">
      <alignment vertical="top"/>
    </xf>
    <xf numFmtId="168" fontId="20" fillId="0" borderId="0" xfId="0" applyFont="1" applyFill="1">
      <alignment vertical="top"/>
    </xf>
    <xf numFmtId="168" fontId="20" fillId="2" borderId="0" xfId="0" applyFont="1" applyFill="1">
      <alignment vertical="top"/>
    </xf>
    <xf numFmtId="168" fontId="27" fillId="0" borderId="0" xfId="0" applyFont="1" applyFill="1">
      <alignment vertical="top"/>
    </xf>
    <xf numFmtId="43" fontId="26" fillId="2" borderId="0" xfId="1" applyFont="1" applyFill="1" applyAlignment="1">
      <alignment horizontal="right" indent="1"/>
    </xf>
    <xf numFmtId="168" fontId="26" fillId="2" borderId="0" xfId="0" applyFont="1" applyFill="1">
      <alignment vertical="top"/>
    </xf>
    <xf numFmtId="168" fontId="27" fillId="2" borderId="0" xfId="0" applyFont="1" applyFill="1">
      <alignment vertical="top"/>
    </xf>
    <xf numFmtId="168" fontId="20" fillId="0" borderId="0" xfId="0" applyFont="1">
      <alignment vertical="top"/>
    </xf>
    <xf numFmtId="0" fontId="20" fillId="0" borderId="0" xfId="0" applyNumberFormat="1" applyFont="1">
      <alignment vertical="top"/>
    </xf>
    <xf numFmtId="168" fontId="20" fillId="0" borderId="0" xfId="0" applyFont="1" applyBorder="1">
      <alignment vertical="top"/>
    </xf>
    <xf numFmtId="168" fontId="26" fillId="17" borderId="0" xfId="0" applyFont="1" applyFill="1" applyAlignment="1"/>
    <xf numFmtId="168" fontId="14" fillId="18" borderId="0" xfId="0" applyFont="1" applyFill="1" applyAlignment="1">
      <alignment horizontal="right" vertical="top"/>
    </xf>
    <xf numFmtId="0" fontId="13" fillId="0" borderId="0" xfId="8" applyFill="1">
      <alignment vertical="top"/>
    </xf>
    <xf numFmtId="0" fontId="19" fillId="0" borderId="0" xfId="8" applyFont="1" applyFill="1">
      <alignment vertical="top"/>
    </xf>
    <xf numFmtId="0" fontId="14" fillId="0" borderId="0" xfId="9">
      <alignment horizontal="right" vertical="top"/>
    </xf>
    <xf numFmtId="0" fontId="14" fillId="0" borderId="0" xfId="9" applyFill="1">
      <alignment horizontal="right" vertical="top"/>
    </xf>
    <xf numFmtId="168" fontId="14" fillId="0" borderId="0" xfId="0" applyFont="1" applyFill="1">
      <alignment vertical="top"/>
    </xf>
    <xf numFmtId="168" fontId="26" fillId="5" borderId="0" xfId="0" applyFont="1" applyFill="1">
      <alignment vertical="top"/>
    </xf>
    <xf numFmtId="168" fontId="26" fillId="5" borderId="0" xfId="0" applyFont="1" applyFill="1" applyAlignment="1">
      <alignment wrapText="1"/>
    </xf>
    <xf numFmtId="168" fontId="26" fillId="5" borderId="0" xfId="0" applyFont="1" applyFill="1" applyAlignment="1">
      <alignment vertical="top" wrapText="1"/>
    </xf>
    <xf numFmtId="165" fontId="14" fillId="0" borderId="0" xfId="0" applyNumberFormat="1" applyFont="1" applyFill="1" applyBorder="1" applyAlignment="1">
      <alignment horizontal="left" vertical="top"/>
    </xf>
    <xf numFmtId="168" fontId="11" fillId="0" borderId="0" xfId="0" applyFont="1">
      <alignment vertical="top"/>
    </xf>
    <xf numFmtId="168" fontId="14" fillId="19" borderId="0" xfId="0" applyFont="1" applyFill="1" applyBorder="1">
      <alignment vertical="top"/>
    </xf>
    <xf numFmtId="168" fontId="14" fillId="9" borderId="0" xfId="0" applyFont="1" applyFill="1" applyBorder="1" applyAlignment="1">
      <alignment horizontal="left" vertical="top"/>
    </xf>
    <xf numFmtId="175" fontId="14" fillId="0" borderId="0" xfId="1" applyNumberFormat="1" applyFont="1" applyFill="1" applyBorder="1" applyAlignment="1">
      <alignment vertical="top"/>
    </xf>
    <xf numFmtId="175" fontId="14" fillId="0" borderId="0" xfId="1" applyNumberFormat="1" applyFont="1" applyBorder="1" applyAlignment="1">
      <alignment vertical="top"/>
    </xf>
    <xf numFmtId="168" fontId="20" fillId="5" borderId="0" xfId="0" applyFont="1" applyFill="1">
      <alignment vertical="top"/>
    </xf>
    <xf numFmtId="168" fontId="14" fillId="0" borderId="0" xfId="14">
      <alignment vertical="top"/>
    </xf>
    <xf numFmtId="168" fontId="12" fillId="0" borderId="0" xfId="14" applyFont="1" applyFill="1" applyBorder="1">
      <alignment vertical="top"/>
    </xf>
    <xf numFmtId="168" fontId="13" fillId="0" borderId="0" xfId="14" applyFont="1" applyFill="1" applyBorder="1">
      <alignment vertical="top"/>
    </xf>
    <xf numFmtId="168" fontId="14" fillId="0" borderId="0" xfId="14" applyFont="1" applyFill="1" applyBorder="1">
      <alignment vertical="top"/>
    </xf>
    <xf numFmtId="168" fontId="14" fillId="0" borderId="0" xfId="14" applyFont="1" applyBorder="1">
      <alignment vertical="top"/>
    </xf>
    <xf numFmtId="166" fontId="12" fillId="0" borderId="0" xfId="15" applyFont="1" applyBorder="1">
      <alignment vertical="top"/>
    </xf>
    <xf numFmtId="168" fontId="14" fillId="20" borderId="0" xfId="14" applyFont="1" applyFill="1" applyAlignment="1">
      <alignment horizontal="right" vertical="top"/>
    </xf>
    <xf numFmtId="168" fontId="32" fillId="0" borderId="0" xfId="14" applyFont="1" applyBorder="1" applyAlignment="1">
      <alignment horizontal="left" vertical="top"/>
    </xf>
    <xf numFmtId="178" fontId="14" fillId="0" borderId="0" xfId="14" applyNumberFormat="1" applyFont="1" applyFill="1">
      <alignment vertical="top"/>
    </xf>
    <xf numFmtId="168" fontId="12" fillId="0" borderId="0" xfId="14" applyFont="1" applyBorder="1" applyAlignment="1">
      <alignment horizontal="right" vertical="top"/>
    </xf>
    <xf numFmtId="168" fontId="12" fillId="0" borderId="0" xfId="14" applyFont="1" applyBorder="1">
      <alignment vertical="top"/>
    </xf>
    <xf numFmtId="177" fontId="14" fillId="0" borderId="0" xfId="14" applyNumberFormat="1" applyFont="1" applyFill="1" applyBorder="1">
      <alignment vertical="top"/>
    </xf>
    <xf numFmtId="168" fontId="0" fillId="0" borderId="0" xfId="0" applyFill="1">
      <alignment vertical="top"/>
    </xf>
    <xf numFmtId="168" fontId="21" fillId="0" borderId="0" xfId="0" applyFont="1">
      <alignment vertical="top"/>
    </xf>
    <xf numFmtId="0" fontId="36" fillId="5" borderId="0" xfId="0" applyNumberFormat="1" applyFont="1" applyFill="1" applyAlignment="1">
      <alignment horizontal="right" vertical="center" wrapText="1"/>
    </xf>
    <xf numFmtId="168" fontId="26" fillId="0" borderId="0" xfId="0" applyFont="1" applyFill="1">
      <alignment vertical="top"/>
    </xf>
    <xf numFmtId="166" fontId="26" fillId="0" borderId="0" xfId="0" applyNumberFormat="1" applyFont="1">
      <alignment vertical="top"/>
    </xf>
    <xf numFmtId="43" fontId="16" fillId="5" borderId="0" xfId="1" applyFont="1" applyFill="1" applyAlignment="1">
      <alignment vertical="top"/>
    </xf>
    <xf numFmtId="43" fontId="37" fillId="0" borderId="0" xfId="1" applyFont="1" applyFill="1" applyAlignment="1">
      <alignment vertical="top"/>
    </xf>
    <xf numFmtId="43" fontId="38" fillId="0" borderId="0" xfId="1" applyFont="1" applyFill="1" applyAlignment="1">
      <alignment vertical="top"/>
    </xf>
    <xf numFmtId="43" fontId="29" fillId="0" borderId="0" xfId="1" applyFont="1" applyFill="1" applyAlignment="1">
      <alignment vertical="top"/>
    </xf>
    <xf numFmtId="43" fontId="16" fillId="0" borderId="0" xfId="1" applyFont="1" applyFill="1" applyAlignment="1">
      <alignment horizontal="right" vertical="top"/>
    </xf>
    <xf numFmtId="43" fontId="29" fillId="0" borderId="0" xfId="1" applyFont="1" applyFill="1" applyAlignment="1">
      <alignment horizontal="right" vertical="top"/>
    </xf>
    <xf numFmtId="169" fontId="16" fillId="0" borderId="0" xfId="16" applyFont="1">
      <alignment vertical="top"/>
    </xf>
    <xf numFmtId="168" fontId="16" fillId="0" borderId="0" xfId="0" applyFont="1">
      <alignment vertical="top"/>
    </xf>
    <xf numFmtId="169" fontId="29" fillId="0" borderId="0" xfId="16" applyFont="1">
      <alignment vertical="top"/>
    </xf>
    <xf numFmtId="176" fontId="14" fillId="0" borderId="0" xfId="0" applyNumberFormat="1" applyFont="1">
      <alignment vertical="top"/>
    </xf>
    <xf numFmtId="168" fontId="37" fillId="0" borderId="0" xfId="0" applyFont="1">
      <alignment vertical="top"/>
    </xf>
    <xf numFmtId="168" fontId="38" fillId="0" borderId="0" xfId="0" applyFont="1">
      <alignment vertical="top"/>
    </xf>
    <xf numFmtId="168" fontId="29" fillId="0" borderId="0" xfId="0" applyFont="1">
      <alignment vertical="top"/>
    </xf>
    <xf numFmtId="179" fontId="29" fillId="0" borderId="0" xfId="0" applyNumberFormat="1" applyFont="1">
      <alignment vertical="top"/>
    </xf>
    <xf numFmtId="168" fontId="9" fillId="0" borderId="0" xfId="0" applyFont="1">
      <alignment vertical="top"/>
    </xf>
    <xf numFmtId="176" fontId="16" fillId="0" borderId="0" xfId="0" applyNumberFormat="1" applyFont="1">
      <alignment vertical="top"/>
    </xf>
    <xf numFmtId="168" fontId="14" fillId="0" borderId="0" xfId="0" quotePrefix="1" applyFont="1">
      <alignment vertical="top"/>
    </xf>
    <xf numFmtId="169" fontId="21" fillId="0" borderId="0" xfId="16" applyFont="1">
      <alignment vertical="top"/>
    </xf>
    <xf numFmtId="170" fontId="29" fillId="0" borderId="0" xfId="21" applyFont="1">
      <alignment vertical="top"/>
    </xf>
    <xf numFmtId="176" fontId="14" fillId="0" borderId="0" xfId="21" applyNumberFormat="1" applyFont="1">
      <alignment vertical="top"/>
    </xf>
    <xf numFmtId="169" fontId="14" fillId="0" borderId="0" xfId="16" applyFont="1">
      <alignment vertical="top"/>
    </xf>
    <xf numFmtId="176" fontId="14" fillId="5" borderId="0" xfId="21" applyNumberFormat="1" applyFont="1" applyFill="1">
      <alignment vertical="top"/>
    </xf>
    <xf numFmtId="168" fontId="12" fillId="9" borderId="0" xfId="0" applyFont="1" applyFill="1">
      <alignment vertical="top"/>
    </xf>
    <xf numFmtId="168" fontId="14" fillId="9" borderId="0" xfId="0" applyFont="1" applyFill="1">
      <alignment vertical="top"/>
    </xf>
    <xf numFmtId="176" fontId="20" fillId="0" borderId="0" xfId="0" applyNumberFormat="1" applyFont="1">
      <alignment vertical="top"/>
    </xf>
    <xf numFmtId="168" fontId="17" fillId="0" borderId="0" xfId="0" applyFont="1">
      <alignment vertical="top"/>
    </xf>
    <xf numFmtId="168" fontId="18" fillId="0" borderId="0" xfId="0" applyFont="1">
      <alignment vertical="top"/>
    </xf>
    <xf numFmtId="168" fontId="16" fillId="0" borderId="0" xfId="0" quotePrefix="1" applyFont="1">
      <alignment vertical="top"/>
    </xf>
    <xf numFmtId="168" fontId="59" fillId="0" borderId="0" xfId="0" applyFont="1">
      <alignment vertical="top"/>
    </xf>
    <xf numFmtId="170" fontId="21" fillId="0" borderId="0" xfId="21" applyFont="1">
      <alignment vertical="top"/>
    </xf>
    <xf numFmtId="168" fontId="34" fillId="0" borderId="0" xfId="0" applyFont="1">
      <alignment vertical="top"/>
    </xf>
    <xf numFmtId="168" fontId="35" fillId="0" borderId="0" xfId="0" applyFont="1">
      <alignment vertical="top"/>
    </xf>
    <xf numFmtId="168" fontId="21" fillId="0" borderId="0" xfId="0" applyFont="1" applyFill="1" applyBorder="1">
      <alignment vertical="top"/>
    </xf>
    <xf numFmtId="175" fontId="14" fillId="0" borderId="0" xfId="1" applyNumberFormat="1" applyFont="1" applyAlignment="1">
      <alignment vertical="top"/>
    </xf>
    <xf numFmtId="175" fontId="14" fillId="0" borderId="0" xfId="1" applyNumberFormat="1" applyFont="1" applyFill="1" applyAlignment="1">
      <alignment vertical="top"/>
    </xf>
    <xf numFmtId="168" fontId="6" fillId="0" borderId="0" xfId="0" applyFont="1">
      <alignment vertical="top"/>
    </xf>
    <xf numFmtId="175" fontId="29" fillId="0" borderId="0" xfId="1" applyNumberFormat="1" applyFont="1" applyFill="1" applyAlignment="1">
      <alignment vertical="top"/>
    </xf>
    <xf numFmtId="43" fontId="37" fillId="0" borderId="0" xfId="1" applyFont="1" applyAlignment="1">
      <alignment vertical="top"/>
    </xf>
    <xf numFmtId="43" fontId="29" fillId="0" borderId="0" xfId="1" applyFont="1" applyAlignment="1">
      <alignment horizontal="right" vertical="top"/>
    </xf>
    <xf numFmtId="169" fontId="16" fillId="0" borderId="0" xfId="2" applyFont="1">
      <alignment vertical="top"/>
    </xf>
    <xf numFmtId="168" fontId="29" fillId="0" borderId="0" xfId="0" applyFont="1" applyAlignment="1">
      <alignment horizontal="right" vertical="top"/>
    </xf>
    <xf numFmtId="170" fontId="37" fillId="0" borderId="0" xfId="21" applyFont="1" applyFill="1">
      <alignment vertical="top"/>
    </xf>
    <xf numFmtId="170" fontId="38" fillId="0" borderId="0" xfId="21" applyFont="1" applyFill="1">
      <alignment vertical="top"/>
    </xf>
    <xf numFmtId="168" fontId="29" fillId="0" borderId="0" xfId="0" applyFont="1" applyFill="1" applyAlignment="1">
      <alignment horizontal="right" vertical="top"/>
    </xf>
    <xf numFmtId="179" fontId="14" fillId="0" borderId="0" xfId="21" applyNumberFormat="1" applyFont="1" applyFill="1">
      <alignment vertical="top"/>
    </xf>
    <xf numFmtId="179" fontId="14" fillId="5" borderId="0" xfId="21" applyNumberFormat="1" applyFont="1" applyFill="1">
      <alignment vertical="top"/>
    </xf>
    <xf numFmtId="179" fontId="12" fillId="0" borderId="0" xfId="21" applyNumberFormat="1" applyFont="1" applyFill="1">
      <alignment vertical="top"/>
    </xf>
    <xf numFmtId="179" fontId="13" fillId="0" borderId="0" xfId="21" applyNumberFormat="1" applyFont="1" applyFill="1">
      <alignment vertical="top"/>
    </xf>
    <xf numFmtId="176" fontId="14" fillId="0" borderId="0" xfId="21" applyNumberFormat="1" applyFont="1" applyFill="1">
      <alignment vertical="top"/>
    </xf>
    <xf numFmtId="176" fontId="14" fillId="0" borderId="0" xfId="21" applyNumberFormat="1" applyFont="1" applyFill="1" applyBorder="1">
      <alignment vertical="top"/>
    </xf>
    <xf numFmtId="176" fontId="16" fillId="0" borderId="0" xfId="0" applyNumberFormat="1" applyFont="1" applyFill="1">
      <alignment vertical="top"/>
    </xf>
    <xf numFmtId="179" fontId="14" fillId="0" borderId="0" xfId="21" applyNumberFormat="1" applyFont="1">
      <alignment vertical="top"/>
    </xf>
    <xf numFmtId="176" fontId="29" fillId="0" borderId="0" xfId="21" applyNumberFormat="1" applyFont="1" applyFill="1" applyBorder="1">
      <alignment vertical="top"/>
    </xf>
    <xf numFmtId="176" fontId="29" fillId="0" borderId="0" xfId="21" applyNumberFormat="1" applyFont="1" applyBorder="1">
      <alignment vertical="top"/>
    </xf>
    <xf numFmtId="179" fontId="12" fillId="0" borderId="0" xfId="21" applyNumberFormat="1" applyFont="1">
      <alignment vertical="top"/>
    </xf>
    <xf numFmtId="168" fontId="16" fillId="0" borderId="0" xfId="21" applyNumberFormat="1" applyFont="1">
      <alignment vertical="top"/>
    </xf>
    <xf numFmtId="168" fontId="29" fillId="0" borderId="2" xfId="0" applyFont="1" applyBorder="1">
      <alignment vertical="top"/>
    </xf>
    <xf numFmtId="168" fontId="14" fillId="0" borderId="2" xfId="0" applyFont="1" applyBorder="1">
      <alignment vertical="top"/>
    </xf>
    <xf numFmtId="179" fontId="12" fillId="0" borderId="0" xfId="21" applyNumberFormat="1" applyFont="1" applyFill="1" applyBorder="1">
      <alignment vertical="top"/>
    </xf>
    <xf numFmtId="168" fontId="14" fillId="0" borderId="0" xfId="0" applyFont="1" applyFill="1" applyBorder="1" applyAlignment="1">
      <alignment horizontal="right" vertical="top"/>
    </xf>
    <xf numFmtId="168" fontId="16" fillId="0" borderId="0" xfId="0" applyFont="1" applyFill="1" applyBorder="1">
      <alignment vertical="top"/>
    </xf>
    <xf numFmtId="176" fontId="12" fillId="0" borderId="0" xfId="21" applyNumberFormat="1" applyFont="1" applyFill="1">
      <alignment vertical="top"/>
    </xf>
    <xf numFmtId="176" fontId="13" fillId="0" borderId="0" xfId="21" applyNumberFormat="1" applyFont="1" applyFill="1">
      <alignment vertical="top"/>
    </xf>
    <xf numFmtId="176" fontId="14" fillId="0" borderId="2" xfId="21" applyNumberFormat="1" applyFont="1" applyFill="1" applyBorder="1">
      <alignment vertical="top"/>
    </xf>
    <xf numFmtId="168" fontId="14" fillId="0" borderId="0" xfId="0" applyFont="1" applyFill="1" applyAlignment="1">
      <alignment horizontal="right" vertical="top"/>
    </xf>
    <xf numFmtId="170" fontId="16" fillId="0" borderId="0" xfId="21" applyFont="1" applyFill="1">
      <alignment vertical="top"/>
    </xf>
    <xf numFmtId="179" fontId="16" fillId="0" borderId="0" xfId="21" applyNumberFormat="1" applyFont="1">
      <alignment vertical="top"/>
    </xf>
    <xf numFmtId="168" fontId="29" fillId="0" borderId="0" xfId="0" applyFont="1" applyFill="1" applyBorder="1">
      <alignment vertical="top"/>
    </xf>
    <xf numFmtId="168" fontId="29" fillId="0" borderId="0" xfId="0" applyFont="1" applyFill="1" applyBorder="1" applyAlignment="1">
      <alignment horizontal="right" vertical="top"/>
    </xf>
    <xf numFmtId="176" fontId="29" fillId="0" borderId="2" xfId="21" applyNumberFormat="1" applyFont="1" applyFill="1" applyBorder="1">
      <alignment vertical="top"/>
    </xf>
    <xf numFmtId="168" fontId="29" fillId="0" borderId="2" xfId="0" applyFont="1" applyFill="1" applyBorder="1">
      <alignment vertical="top"/>
    </xf>
    <xf numFmtId="168" fontId="29" fillId="0" borderId="2" xfId="0" applyFont="1" applyFill="1" applyBorder="1" applyAlignment="1">
      <alignment horizontal="left" vertical="top"/>
    </xf>
    <xf numFmtId="168" fontId="34" fillId="0" borderId="0" xfId="0" applyFont="1" applyFill="1" applyBorder="1">
      <alignment vertical="top"/>
    </xf>
    <xf numFmtId="168" fontId="21" fillId="0" borderId="0" xfId="0" applyFont="1" applyFill="1" applyBorder="1" applyAlignment="1">
      <alignment horizontal="right" vertical="top"/>
    </xf>
    <xf numFmtId="176" fontId="21" fillId="0" borderId="0" xfId="21" applyNumberFormat="1" applyFont="1" applyFill="1" applyBorder="1">
      <alignment vertical="top"/>
    </xf>
    <xf numFmtId="168" fontId="37" fillId="0" borderId="0" xfId="0" applyFont="1" applyFill="1" applyBorder="1">
      <alignment vertical="top"/>
    </xf>
    <xf numFmtId="179" fontId="29" fillId="0" borderId="0" xfId="21" applyNumberFormat="1" applyFont="1" applyFill="1" applyBorder="1">
      <alignment vertical="top"/>
    </xf>
    <xf numFmtId="179" fontId="21" fillId="0" borderId="0" xfId="21" applyNumberFormat="1" applyFont="1" applyFill="1" applyBorder="1">
      <alignment vertical="top"/>
    </xf>
    <xf numFmtId="179" fontId="17" fillId="0" borderId="0" xfId="21" applyNumberFormat="1" applyFont="1">
      <alignment vertical="top"/>
    </xf>
    <xf numFmtId="179" fontId="18" fillId="0" borderId="0" xfId="21" applyNumberFormat="1" applyFont="1" applyFill="1">
      <alignment vertical="top"/>
    </xf>
    <xf numFmtId="176" fontId="16" fillId="0" borderId="0" xfId="21" applyNumberFormat="1" applyFont="1" applyFill="1">
      <alignment vertical="top"/>
    </xf>
    <xf numFmtId="176" fontId="21" fillId="0" borderId="2" xfId="21" applyNumberFormat="1" applyFont="1" applyFill="1" applyBorder="1">
      <alignment vertical="top"/>
    </xf>
    <xf numFmtId="0" fontId="60" fillId="5" borderId="0" xfId="0" applyNumberFormat="1" applyFont="1" applyFill="1" applyAlignment="1">
      <alignment horizontal="right" vertical="center" wrapText="1"/>
    </xf>
    <xf numFmtId="168" fontId="26" fillId="5" borderId="0" xfId="0" applyFont="1" applyFill="1" applyAlignment="1">
      <alignment horizontal="right" vertical="top"/>
    </xf>
    <xf numFmtId="168" fontId="11" fillId="5" borderId="0" xfId="0" applyFont="1" applyFill="1">
      <alignment vertical="top"/>
    </xf>
    <xf numFmtId="176" fontId="14" fillId="0" borderId="0" xfId="0" applyNumberFormat="1" applyFont="1" applyFill="1" applyBorder="1">
      <alignment vertical="top"/>
    </xf>
    <xf numFmtId="168" fontId="58" fillId="9" borderId="0" xfId="0" applyFont="1" applyFill="1" applyBorder="1">
      <alignment vertical="top"/>
    </xf>
    <xf numFmtId="168" fontId="9" fillId="0" borderId="0" xfId="0" applyFont="1" applyFill="1">
      <alignment vertical="top"/>
    </xf>
    <xf numFmtId="168" fontId="14" fillId="0" borderId="0" xfId="0" applyFont="1" applyFill="1" applyBorder="1" applyAlignment="1">
      <alignment horizontal="left" vertical="top"/>
    </xf>
    <xf numFmtId="168" fontId="14" fillId="4" borderId="0" xfId="0" applyFont="1" applyFill="1">
      <alignment vertical="top"/>
    </xf>
    <xf numFmtId="176" fontId="14" fillId="0" borderId="2" xfId="21" applyNumberFormat="1" applyFont="1" applyBorder="1">
      <alignment vertical="top"/>
    </xf>
    <xf numFmtId="176" fontId="12" fillId="0" borderId="2" xfId="21" applyNumberFormat="1" applyFont="1" applyFill="1" applyBorder="1">
      <alignment vertical="top"/>
    </xf>
    <xf numFmtId="176" fontId="29" fillId="0" borderId="0" xfId="4" applyNumberFormat="1" applyFont="1" applyFill="1" applyBorder="1">
      <alignment vertical="top"/>
    </xf>
    <xf numFmtId="176" fontId="29" fillId="5" borderId="0" xfId="4" applyNumberFormat="1" applyFont="1" applyFill="1" applyBorder="1">
      <alignment vertical="top"/>
    </xf>
    <xf numFmtId="179" fontId="37" fillId="0" borderId="0" xfId="21" applyNumberFormat="1" applyFont="1">
      <alignment vertical="top"/>
    </xf>
    <xf numFmtId="179" fontId="38" fillId="0" borderId="0" xfId="21" applyNumberFormat="1" applyFont="1" applyFill="1">
      <alignment vertical="top"/>
    </xf>
    <xf numFmtId="176" fontId="29" fillId="0" borderId="0" xfId="21" applyNumberFormat="1" applyFont="1" applyFill="1">
      <alignment vertical="top"/>
    </xf>
    <xf numFmtId="168" fontId="20" fillId="17" borderId="0" xfId="0" applyFont="1" applyFill="1">
      <alignment vertical="top"/>
    </xf>
    <xf numFmtId="166" fontId="21" fillId="0" borderId="0" xfId="3" applyFont="1" applyFill="1" applyBorder="1">
      <alignment vertical="top"/>
    </xf>
    <xf numFmtId="168" fontId="12" fillId="0" borderId="0" xfId="7" applyNumberFormat="1" applyFill="1" applyBorder="1">
      <alignment vertical="top"/>
    </xf>
    <xf numFmtId="166" fontId="14" fillId="0" borderId="0" xfId="3" applyFont="1" applyFill="1" applyBorder="1" applyAlignment="1">
      <alignment horizontal="right" vertical="top"/>
    </xf>
    <xf numFmtId="166" fontId="14" fillId="0" borderId="0" xfId="3" applyFont="1" applyBorder="1" applyAlignment="1">
      <alignment horizontal="left" vertical="top"/>
    </xf>
    <xf numFmtId="168" fontId="14" fillId="7" borderId="0" xfId="0" applyFont="1" applyFill="1" applyBorder="1">
      <alignment vertical="top"/>
    </xf>
    <xf numFmtId="0" fontId="14" fillId="0" borderId="0" xfId="0" applyNumberFormat="1" applyFont="1" applyBorder="1">
      <alignment vertical="top"/>
    </xf>
    <xf numFmtId="168" fontId="5" fillId="0" borderId="0" xfId="0" applyFont="1">
      <alignment vertical="top"/>
    </xf>
    <xf numFmtId="176" fontId="20" fillId="0" borderId="0" xfId="21" applyNumberFormat="1" applyFont="1">
      <alignment vertical="top"/>
    </xf>
    <xf numFmtId="176" fontId="29" fillId="0" borderId="0" xfId="0" applyNumberFormat="1" applyFont="1">
      <alignment vertical="top"/>
    </xf>
    <xf numFmtId="176" fontId="16" fillId="0" borderId="0" xfId="0" applyNumberFormat="1" applyFont="1" applyFill="1" applyBorder="1">
      <alignment vertical="top"/>
    </xf>
    <xf numFmtId="168" fontId="0" fillId="9" borderId="1" xfId="0" applyFill="1" applyBorder="1">
      <alignment vertical="top"/>
    </xf>
    <xf numFmtId="0" fontId="34" fillId="0" borderId="0" xfId="7" applyNumberFormat="1" applyFont="1" applyBorder="1">
      <alignment vertical="top"/>
    </xf>
    <xf numFmtId="0" fontId="35" fillId="0" borderId="0" xfId="8" applyFont="1" applyFill="1" applyBorder="1">
      <alignment vertical="top"/>
    </xf>
    <xf numFmtId="0" fontId="61" fillId="0" borderId="0" xfId="8" applyFont="1" applyFill="1" applyBorder="1">
      <alignment vertical="top"/>
    </xf>
    <xf numFmtId="0" fontId="21" fillId="0" borderId="0" xfId="9" applyFont="1" applyBorder="1">
      <alignment horizontal="right" vertical="top"/>
    </xf>
    <xf numFmtId="43" fontId="21" fillId="0" borderId="0" xfId="1" applyFont="1" applyBorder="1" applyAlignment="1">
      <alignment vertical="top"/>
    </xf>
    <xf numFmtId="175" fontId="21" fillId="0" borderId="0" xfId="1" applyNumberFormat="1" applyFont="1" applyBorder="1" applyAlignment="1">
      <alignment vertical="top"/>
    </xf>
    <xf numFmtId="168" fontId="9" fillId="9" borderId="0" xfId="0" applyFont="1" applyFill="1" applyBorder="1">
      <alignment vertical="top"/>
    </xf>
    <xf numFmtId="168" fontId="58" fillId="9" borderId="0" xfId="0" applyFont="1" applyFill="1" applyBorder="1" applyAlignment="1">
      <alignment horizontal="right" vertical="top"/>
    </xf>
    <xf numFmtId="168" fontId="58" fillId="0" borderId="0" xfId="0" applyFont="1" applyFill="1" applyBorder="1">
      <alignment vertical="top"/>
    </xf>
    <xf numFmtId="168" fontId="9" fillId="0" borderId="0" xfId="0" applyFont="1" applyFill="1" applyBorder="1">
      <alignment vertical="top"/>
    </xf>
    <xf numFmtId="168" fontId="58" fillId="0" borderId="0" xfId="0" applyFont="1" applyFill="1" applyBorder="1" applyAlignment="1">
      <alignment horizontal="right" vertical="top"/>
    </xf>
    <xf numFmtId="168" fontId="4" fillId="0" borderId="0" xfId="0" applyFont="1">
      <alignment vertical="top"/>
    </xf>
    <xf numFmtId="176" fontId="14" fillId="0" borderId="0" xfId="0" applyNumberFormat="1" applyFont="1" applyAlignment="1">
      <alignment horizontal="right" vertical="top"/>
    </xf>
    <xf numFmtId="169" fontId="14" fillId="0" borderId="0" xfId="2" applyFont="1">
      <alignment vertical="top"/>
    </xf>
    <xf numFmtId="176" fontId="14" fillId="0" borderId="0" xfId="0" applyNumberFormat="1" applyFont="1" applyAlignment="1">
      <alignment horizontal="left" vertical="top"/>
    </xf>
    <xf numFmtId="176" fontId="16" fillId="0" borderId="0" xfId="0" applyNumberFormat="1" applyFont="1" applyAlignment="1">
      <alignment horizontal="left" vertical="top"/>
    </xf>
    <xf numFmtId="168" fontId="20" fillId="17" borderId="0" xfId="0" applyFont="1" applyFill="1" applyAlignment="1"/>
    <xf numFmtId="168" fontId="20" fillId="0" borderId="0" xfId="0" applyFont="1" applyFill="1" applyBorder="1">
      <alignment vertical="top"/>
    </xf>
    <xf numFmtId="168" fontId="14" fillId="0" borderId="0" xfId="21" applyNumberFormat="1" applyFont="1" applyFill="1" applyBorder="1">
      <alignment vertical="top"/>
    </xf>
    <xf numFmtId="168" fontId="14" fillId="6" borderId="0" xfId="21" applyNumberFormat="1" applyFont="1" applyFill="1" applyBorder="1">
      <alignment vertical="top"/>
    </xf>
    <xf numFmtId="175" fontId="20" fillId="0" borderId="0" xfId="0" applyNumberFormat="1" applyFont="1" applyFill="1" applyBorder="1">
      <alignment vertical="top"/>
    </xf>
    <xf numFmtId="168" fontId="0" fillId="0" borderId="0" xfId="0" applyBorder="1">
      <alignment vertical="top"/>
    </xf>
    <xf numFmtId="176" fontId="14" fillId="6" borderId="0" xfId="21" applyNumberFormat="1" applyFont="1" applyFill="1" applyBorder="1">
      <alignment vertical="top"/>
    </xf>
    <xf numFmtId="179" fontId="20" fillId="0" borderId="0" xfId="0" applyNumberFormat="1" applyFont="1" applyFill="1" applyBorder="1">
      <alignment vertical="top"/>
    </xf>
    <xf numFmtId="169" fontId="14" fillId="6" borderId="0" xfId="2" applyFont="1" applyFill="1" applyBorder="1">
      <alignment vertical="top"/>
    </xf>
    <xf numFmtId="169" fontId="20" fillId="0" borderId="0" xfId="2" applyFont="1" applyFill="1" applyBorder="1">
      <alignment vertical="top"/>
    </xf>
    <xf numFmtId="168" fontId="62" fillId="0" borderId="0" xfId="0" applyFont="1" applyFill="1">
      <alignment vertical="top"/>
    </xf>
    <xf numFmtId="176" fontId="14" fillId="0" borderId="0" xfId="0" applyNumberFormat="1" applyFont="1" applyFill="1">
      <alignment vertical="top"/>
    </xf>
    <xf numFmtId="169" fontId="14" fillId="0" borderId="0" xfId="2" applyFont="1" applyFill="1">
      <alignment vertical="top"/>
    </xf>
    <xf numFmtId="168" fontId="0" fillId="3" borderId="1" xfId="0" applyFill="1" applyBorder="1">
      <alignment vertical="top"/>
    </xf>
    <xf numFmtId="168" fontId="0" fillId="5" borderId="1" xfId="0" applyFill="1" applyBorder="1">
      <alignment vertical="top"/>
    </xf>
    <xf numFmtId="171" fontId="14" fillId="3" borderId="0" xfId="5" applyFont="1" applyFill="1" applyBorder="1">
      <alignment vertical="top"/>
    </xf>
    <xf numFmtId="0" fontId="14" fillId="3" borderId="0" xfId="5" applyNumberFormat="1" applyFont="1" applyFill="1" applyBorder="1">
      <alignment vertical="top"/>
    </xf>
    <xf numFmtId="168" fontId="14" fillId="3" borderId="0" xfId="0" applyFont="1" applyFill="1">
      <alignment vertical="top"/>
    </xf>
    <xf numFmtId="170" fontId="14" fillId="3" borderId="0" xfId="4" applyFont="1" applyFill="1">
      <alignment vertical="top"/>
    </xf>
    <xf numFmtId="177" fontId="14" fillId="6" borderId="0" xfId="4" applyNumberFormat="1" applyFont="1" applyFill="1" applyBorder="1">
      <alignment vertical="top"/>
    </xf>
    <xf numFmtId="168" fontId="0" fillId="4" borderId="0" xfId="0" applyFill="1">
      <alignment vertical="top"/>
    </xf>
    <xf numFmtId="168" fontId="3" fillId="0" borderId="0" xfId="0" applyFont="1">
      <alignment vertical="top"/>
    </xf>
    <xf numFmtId="179" fontId="16" fillId="0" borderId="0" xfId="1" applyNumberFormat="1" applyFont="1" applyFill="1" applyAlignment="1">
      <alignment vertical="top"/>
    </xf>
    <xf numFmtId="168" fontId="16" fillId="0" borderId="0" xfId="1" applyNumberFormat="1" applyFont="1" applyFill="1" applyAlignment="1">
      <alignment vertical="top"/>
    </xf>
    <xf numFmtId="176" fontId="16" fillId="0" borderId="0" xfId="1" applyNumberFormat="1" applyFont="1" applyFill="1" applyAlignment="1">
      <alignment vertical="top"/>
    </xf>
    <xf numFmtId="176" fontId="14" fillId="0" borderId="0" xfId="0" applyNumberFormat="1" applyFont="1" applyFill="1" applyAlignment="1">
      <alignment horizontal="left" vertical="top"/>
    </xf>
    <xf numFmtId="176" fontId="21" fillId="0" borderId="0" xfId="0" applyNumberFormat="1" applyFont="1">
      <alignment vertical="top"/>
    </xf>
    <xf numFmtId="168" fontId="21" fillId="0" borderId="0" xfId="0" applyFont="1" applyFill="1">
      <alignment vertical="top"/>
    </xf>
    <xf numFmtId="168" fontId="3" fillId="17" borderId="0" xfId="0" applyFont="1" applyFill="1">
      <alignment vertical="top"/>
    </xf>
    <xf numFmtId="168" fontId="3" fillId="0" borderId="0" xfId="0" applyFont="1" applyFill="1">
      <alignment vertical="top"/>
    </xf>
    <xf numFmtId="168" fontId="14" fillId="0" borderId="2" xfId="0" applyFont="1" applyFill="1" applyBorder="1">
      <alignment vertical="top"/>
    </xf>
    <xf numFmtId="0" fontId="66" fillId="55" borderId="13" xfId="81" applyFont="1" applyFill="1" applyBorder="1" applyAlignment="1">
      <alignment vertical="top"/>
    </xf>
    <xf numFmtId="0" fontId="67" fillId="55" borderId="13" xfId="81" applyFont="1" applyFill="1" applyBorder="1" applyAlignment="1">
      <alignment vertical="top"/>
    </xf>
    <xf numFmtId="0" fontId="2" fillId="0" borderId="13" xfId="81" applyBorder="1"/>
    <xf numFmtId="0" fontId="67" fillId="55" borderId="0" xfId="81" applyFont="1" applyFill="1" applyAlignment="1">
      <alignment vertical="top"/>
    </xf>
    <xf numFmtId="0" fontId="2" fillId="0" borderId="0" xfId="81"/>
    <xf numFmtId="0" fontId="57" fillId="55" borderId="0" xfId="81" applyFont="1" applyFill="1" applyAlignment="1">
      <alignment vertical="top"/>
    </xf>
    <xf numFmtId="180" fontId="57" fillId="55" borderId="0" xfId="81" applyNumberFormat="1" applyFont="1" applyFill="1" applyAlignment="1">
      <alignment horizontal="left" vertical="top"/>
    </xf>
    <xf numFmtId="0" fontId="20" fillId="0" borderId="0" xfId="81" applyFont="1"/>
    <xf numFmtId="168" fontId="30" fillId="0" borderId="0" xfId="73" applyNumberFormat="1" applyFill="1" applyProtection="1">
      <alignment vertical="top"/>
    </xf>
    <xf numFmtId="0" fontId="68" fillId="0" borderId="0" xfId="81" applyFont="1" applyAlignment="1">
      <alignment vertical="top"/>
    </xf>
    <xf numFmtId="0" fontId="14" fillId="56" borderId="14" xfId="81" applyFont="1" applyFill="1" applyBorder="1" applyAlignment="1">
      <alignment horizontal="center" vertical="center"/>
    </xf>
    <xf numFmtId="0" fontId="14" fillId="56" borderId="15" xfId="81" applyFont="1" applyFill="1" applyBorder="1" applyAlignment="1">
      <alignment horizontal="center" vertical="center"/>
    </xf>
    <xf numFmtId="0" fontId="14" fillId="56" borderId="1" xfId="81" applyFont="1" applyFill="1" applyBorder="1" applyAlignment="1">
      <alignment horizontal="center" vertical="center"/>
    </xf>
    <xf numFmtId="0" fontId="14" fillId="56" borderId="15" xfId="81" applyFont="1" applyFill="1" applyBorder="1" applyAlignment="1">
      <alignment horizontal="center" vertical="center" wrapText="1"/>
    </xf>
    <xf numFmtId="0" fontId="29" fillId="5" borderId="1" xfId="81" applyFont="1" applyFill="1" applyBorder="1" applyAlignment="1">
      <alignment vertical="top" wrapText="1"/>
    </xf>
    <xf numFmtId="0" fontId="14" fillId="5" borderId="15" xfId="81" applyFont="1" applyFill="1" applyBorder="1" applyAlignment="1">
      <alignment vertical="top" wrapText="1"/>
    </xf>
    <xf numFmtId="0" fontId="29" fillId="0" borderId="0" xfId="81" applyFont="1" applyAlignment="1">
      <alignment vertical="top"/>
    </xf>
    <xf numFmtId="0" fontId="69" fillId="0" borderId="0" xfId="81" applyFont="1" applyAlignment="1">
      <alignment vertical="top"/>
    </xf>
    <xf numFmtId="0" fontId="16" fillId="57" borderId="18" xfId="81" applyFont="1" applyFill="1" applyBorder="1" applyAlignment="1">
      <alignment vertical="top" wrapText="1"/>
    </xf>
    <xf numFmtId="0" fontId="16" fillId="57" borderId="19" xfId="81" applyFont="1" applyFill="1" applyBorder="1" applyAlignment="1">
      <alignment vertical="top" wrapText="1"/>
    </xf>
    <xf numFmtId="0" fontId="16" fillId="57" borderId="20" xfId="81" applyFont="1" applyFill="1" applyBorder="1" applyAlignment="1">
      <alignment vertical="top" wrapText="1"/>
    </xf>
    <xf numFmtId="168" fontId="26" fillId="7" borderId="0" xfId="83" applyFont="1" applyFill="1">
      <alignment vertical="top"/>
    </xf>
    <xf numFmtId="0" fontId="2" fillId="7" borderId="0" xfId="81" applyFill="1"/>
    <xf numFmtId="0" fontId="14" fillId="7" borderId="0" xfId="81" applyFont="1" applyFill="1" applyAlignment="1">
      <alignment vertical="top"/>
    </xf>
    <xf numFmtId="170" fontId="14" fillId="0" borderId="0" xfId="0" applyNumberFormat="1" applyFont="1" applyFill="1" applyBorder="1">
      <alignment vertical="top"/>
    </xf>
    <xf numFmtId="176" fontId="20" fillId="0" borderId="0" xfId="0" applyNumberFormat="1" applyFont="1" applyFill="1">
      <alignment vertical="top"/>
    </xf>
    <xf numFmtId="43" fontId="20" fillId="0" borderId="0" xfId="0" applyNumberFormat="1" applyFont="1" applyFill="1">
      <alignment vertical="top"/>
    </xf>
    <xf numFmtId="170" fontId="28" fillId="0" borderId="0" xfId="0" applyNumberFormat="1" applyFont="1" applyFill="1">
      <alignment vertical="top"/>
    </xf>
    <xf numFmtId="169" fontId="28" fillId="0" borderId="0" xfId="0" applyNumberFormat="1" applyFont="1" applyFill="1">
      <alignment vertical="top"/>
    </xf>
    <xf numFmtId="168" fontId="39" fillId="0" borderId="0" xfId="0" applyFont="1" applyFill="1">
      <alignment vertical="top"/>
    </xf>
    <xf numFmtId="168" fontId="14" fillId="0" borderId="0" xfId="1" applyNumberFormat="1" applyFont="1" applyFill="1" applyAlignment="1">
      <alignment vertical="top"/>
    </xf>
    <xf numFmtId="179" fontId="14" fillId="6" borderId="0" xfId="21" applyNumberFormat="1" applyFont="1" applyFill="1" applyBorder="1">
      <alignment vertical="top"/>
    </xf>
    <xf numFmtId="179" fontId="34" fillId="6" borderId="0" xfId="21" applyNumberFormat="1" applyFont="1" applyFill="1" applyBorder="1">
      <alignment vertical="top"/>
    </xf>
    <xf numFmtId="179" fontId="16" fillId="0" borderId="0" xfId="0" applyNumberFormat="1" applyFont="1">
      <alignment vertical="top"/>
    </xf>
    <xf numFmtId="179" fontId="34" fillId="58" borderId="0" xfId="21" applyNumberFormat="1" applyFont="1" applyFill="1" applyBorder="1">
      <alignment vertical="top"/>
    </xf>
    <xf numFmtId="169" fontId="14" fillId="58" borderId="0" xfId="2" applyFont="1" applyFill="1" applyBorder="1">
      <alignment vertical="top"/>
    </xf>
    <xf numFmtId="177" fontId="14" fillId="58" borderId="0" xfId="4" applyNumberFormat="1" applyFont="1" applyFill="1" applyBorder="1">
      <alignment vertical="top"/>
    </xf>
    <xf numFmtId="168" fontId="1" fillId="0" borderId="0" xfId="0" applyFont="1">
      <alignment vertical="top"/>
    </xf>
    <xf numFmtId="168" fontId="1" fillId="0" borderId="0" xfId="0" applyFont="1" applyBorder="1">
      <alignment vertical="top"/>
    </xf>
    <xf numFmtId="168" fontId="1" fillId="17" borderId="0" xfId="0" applyFont="1" applyFill="1">
      <alignment vertical="top"/>
    </xf>
    <xf numFmtId="166" fontId="1" fillId="0" borderId="0" xfId="0" applyNumberFormat="1" applyFont="1">
      <alignment vertical="top"/>
    </xf>
    <xf numFmtId="168" fontId="1" fillId="0" borderId="0" xfId="0" applyFont="1" applyFill="1">
      <alignment vertical="top"/>
    </xf>
    <xf numFmtId="179" fontId="0" fillId="0" borderId="0" xfId="0" applyNumberFormat="1">
      <alignment vertical="top"/>
    </xf>
    <xf numFmtId="49" fontId="57" fillId="55" borderId="0" xfId="20" applyNumberFormat="1" applyFont="1" applyFill="1" applyAlignment="1">
      <alignment horizontal="left" vertical="top"/>
    </xf>
    <xf numFmtId="49" fontId="70" fillId="55" borderId="0" xfId="20" applyNumberFormat="1" applyFont="1" applyFill="1" applyAlignment="1">
      <alignment horizontal="left" vertical="top"/>
    </xf>
    <xf numFmtId="0" fontId="29" fillId="5" borderId="16" xfId="81" applyFont="1" applyFill="1" applyBorder="1" applyAlignment="1">
      <alignment vertical="top" wrapText="1"/>
    </xf>
    <xf numFmtId="0" fontId="29" fillId="5" borderId="17" xfId="81" applyFont="1" applyFill="1" applyBorder="1" applyAlignment="1">
      <alignment vertical="top" wrapText="1"/>
    </xf>
    <xf numFmtId="0" fontId="14" fillId="57" borderId="18" xfId="81" applyFont="1" applyFill="1" applyBorder="1" applyAlignment="1">
      <alignment horizontal="left" vertical="top" wrapText="1"/>
    </xf>
    <xf numFmtId="0" fontId="14" fillId="57" borderId="19" xfId="81" applyFont="1" applyFill="1" applyBorder="1" applyAlignment="1">
      <alignment horizontal="left" vertical="top" wrapText="1"/>
    </xf>
    <xf numFmtId="0" fontId="14" fillId="57" borderId="20" xfId="81" applyFont="1" applyFill="1" applyBorder="1" applyAlignment="1">
      <alignment horizontal="left" vertical="top" wrapText="1"/>
    </xf>
  </cellXfs>
  <cellStyles count="85">
    <cellStyle name="20% - Accent1 2" xfId="40" xr:uid="{00000000-0005-0000-0000-000000000000}"/>
    <cellStyle name="20% - Accent2 2" xfId="44" xr:uid="{00000000-0005-0000-0000-000001000000}"/>
    <cellStyle name="20% - Accent3 2" xfId="48" xr:uid="{00000000-0005-0000-0000-000002000000}"/>
    <cellStyle name="20% - Accent4 2" xfId="52" xr:uid="{00000000-0005-0000-0000-000003000000}"/>
    <cellStyle name="20% - Accent5 2" xfId="56" xr:uid="{00000000-0005-0000-0000-000004000000}"/>
    <cellStyle name="20% - Accent6 2" xfId="60" xr:uid="{00000000-0005-0000-0000-000005000000}"/>
    <cellStyle name="40% - Accent1 2" xfId="41" xr:uid="{00000000-0005-0000-0000-000006000000}"/>
    <cellStyle name="40% - Accent2 2" xfId="45" xr:uid="{00000000-0005-0000-0000-000007000000}"/>
    <cellStyle name="40% - Accent3 2" xfId="49" xr:uid="{00000000-0005-0000-0000-000008000000}"/>
    <cellStyle name="40% - Accent4 2" xfId="53" xr:uid="{00000000-0005-0000-0000-000009000000}"/>
    <cellStyle name="40% - Accent5 2" xfId="57" xr:uid="{00000000-0005-0000-0000-00000A000000}"/>
    <cellStyle name="40% - Accent6 2" xfId="61" xr:uid="{00000000-0005-0000-0000-00000B000000}"/>
    <cellStyle name="60% - Accent1 2" xfId="42" xr:uid="{00000000-0005-0000-0000-00000C000000}"/>
    <cellStyle name="60% - Accent2 2" xfId="46" xr:uid="{00000000-0005-0000-0000-00000D000000}"/>
    <cellStyle name="60% - Accent3 2" xfId="50" xr:uid="{00000000-0005-0000-0000-00000E000000}"/>
    <cellStyle name="60% - Accent4 2" xfId="54" xr:uid="{00000000-0005-0000-0000-00000F000000}"/>
    <cellStyle name="60% - Accent5 2" xfId="58" xr:uid="{00000000-0005-0000-0000-000010000000}"/>
    <cellStyle name="60% - Accent6 2" xfId="62" xr:uid="{00000000-0005-0000-0000-000011000000}"/>
    <cellStyle name="Accent1 2" xfId="39" xr:uid="{00000000-0005-0000-0000-000012000000}"/>
    <cellStyle name="Accent2 2" xfId="43" xr:uid="{00000000-0005-0000-0000-000013000000}"/>
    <cellStyle name="Accent3 2" xfId="47" xr:uid="{00000000-0005-0000-0000-000014000000}"/>
    <cellStyle name="Accent4 2" xfId="51" xr:uid="{00000000-0005-0000-0000-000015000000}"/>
    <cellStyle name="Accent5 2" xfId="55" xr:uid="{00000000-0005-0000-0000-000016000000}"/>
    <cellStyle name="Accent6 2" xfId="59" xr:uid="{00000000-0005-0000-0000-000017000000}"/>
    <cellStyle name="Bad 2" xfId="28" xr:uid="{00000000-0005-0000-0000-000018000000}"/>
    <cellStyle name="BM Input" xfId="66" xr:uid="{00000000-0005-0000-0000-000019000000}"/>
    <cellStyle name="Calculation 2" xfId="32" xr:uid="{00000000-0005-0000-0000-00001A000000}"/>
    <cellStyle name="Check Cell 2" xfId="34" xr:uid="{00000000-0005-0000-0000-00001B000000}"/>
    <cellStyle name="Column 1" xfId="7" xr:uid="{00000000-0005-0000-0000-00001C000000}"/>
    <cellStyle name="Column 2 + 3" xfId="8" xr:uid="{00000000-0005-0000-0000-00001D000000}"/>
    <cellStyle name="Column 4" xfId="9" xr:uid="{00000000-0005-0000-0000-00001E000000}"/>
    <cellStyle name="Comma" xfId="1" builtinId="3"/>
    <cellStyle name="Comma 2" xfId="68" xr:uid="{00000000-0005-0000-0000-000020000000}"/>
    <cellStyle name="Comma 3" xfId="65" xr:uid="{00000000-0005-0000-0000-000021000000}"/>
    <cellStyle name="DateLong" xfId="5" xr:uid="{00000000-0005-0000-0000-000022000000}"/>
    <cellStyle name="DateLong 2" xfId="71" xr:uid="{00000000-0005-0000-0000-000023000000}"/>
    <cellStyle name="DateLong 3" xfId="20" xr:uid="{00000000-0005-0000-0000-000024000000}"/>
    <cellStyle name="DateShort" xfId="3" xr:uid="{00000000-0005-0000-0000-000025000000}"/>
    <cellStyle name="DateShort 3" xfId="15" xr:uid="{00000000-0005-0000-0000-000026000000}"/>
    <cellStyle name="End of sheet" xfId="79" xr:uid="{00000000-0005-0000-0000-000027000000}"/>
    <cellStyle name="Explanatory Text 2" xfId="37" xr:uid="{00000000-0005-0000-0000-000028000000}"/>
    <cellStyle name="Factor" xfId="4" xr:uid="{00000000-0005-0000-0000-000029000000}"/>
    <cellStyle name="Factor 2" xfId="70" xr:uid="{00000000-0005-0000-0000-00002A000000}"/>
    <cellStyle name="Factor 3" xfId="21" xr:uid="{00000000-0005-0000-0000-00002B000000}"/>
    <cellStyle name="Good 2" xfId="27" xr:uid="{00000000-0005-0000-0000-00002C000000}"/>
    <cellStyle name="Heading 1 2" xfId="23" xr:uid="{00000000-0005-0000-0000-00002D000000}"/>
    <cellStyle name="Heading 1 3" xfId="77" xr:uid="{00000000-0005-0000-0000-00002E000000}"/>
    <cellStyle name="Heading 2 2" xfId="24" xr:uid="{00000000-0005-0000-0000-00002F000000}"/>
    <cellStyle name="Heading 3 2" xfId="25" xr:uid="{00000000-0005-0000-0000-000030000000}"/>
    <cellStyle name="Heading 4 2" xfId="26" xr:uid="{00000000-0005-0000-0000-000031000000}"/>
    <cellStyle name="Hyperlink 2" xfId="73" xr:uid="{00000000-0005-0000-0000-000032000000}"/>
    <cellStyle name="Hyperlink 2 2" xfId="82" xr:uid="{00000000-0005-0000-0000-000033000000}"/>
    <cellStyle name="Hyperlink 3" xfId="63" xr:uid="{00000000-0005-0000-0000-000034000000}"/>
    <cellStyle name="Hyperlink 4" xfId="76" xr:uid="{00000000-0005-0000-0000-000035000000}"/>
    <cellStyle name="Import" xfId="10" xr:uid="{00000000-0005-0000-0000-000036000000}"/>
    <cellStyle name="Input 2" xfId="30" xr:uid="{00000000-0005-0000-0000-000037000000}"/>
    <cellStyle name="Linked Cell 2" xfId="33" xr:uid="{00000000-0005-0000-0000-000038000000}"/>
    <cellStyle name="Neutral 2" xfId="29" xr:uid="{00000000-0005-0000-0000-000039000000}"/>
    <cellStyle name="Normal" xfId="0" builtinId="0" customBuiltin="1"/>
    <cellStyle name="Normal 2" xfId="14" xr:uid="{00000000-0005-0000-0000-00003B000000}"/>
    <cellStyle name="Normal 2 2" xfId="11" xr:uid="{00000000-0005-0000-0000-00003C000000}"/>
    <cellStyle name="Normal 2 3" xfId="17" xr:uid="{00000000-0005-0000-0000-00003D000000}"/>
    <cellStyle name="Normal 2 4" xfId="67" xr:uid="{00000000-0005-0000-0000-00003E000000}"/>
    <cellStyle name="Normal 3" xfId="18" xr:uid="{00000000-0005-0000-0000-00003F000000}"/>
    <cellStyle name="Normal 3 2" xfId="12" xr:uid="{00000000-0005-0000-0000-000040000000}"/>
    <cellStyle name="Normal 3 2 2" xfId="13" xr:uid="{00000000-0005-0000-0000-000041000000}"/>
    <cellStyle name="Normal 4" xfId="19" xr:uid="{00000000-0005-0000-0000-000042000000}"/>
    <cellStyle name="Normal 4 2" xfId="83" xr:uid="{00000000-0005-0000-0000-000043000000}"/>
    <cellStyle name="Normal 5" xfId="75" xr:uid="{00000000-0005-0000-0000-000044000000}"/>
    <cellStyle name="Normal 6" xfId="81" xr:uid="{00000000-0005-0000-0000-000045000000}"/>
    <cellStyle name="Normal 7 3" xfId="84" xr:uid="{2E9D27FE-F7EE-45B4-A208-B7F4F6271CE6}"/>
    <cellStyle name="Normal 8" xfId="80" xr:uid="{00000000-0005-0000-0000-000046000000}"/>
    <cellStyle name="Note 2" xfId="36" xr:uid="{00000000-0005-0000-0000-000047000000}"/>
    <cellStyle name="Output 2" xfId="31" xr:uid="{00000000-0005-0000-0000-000048000000}"/>
    <cellStyle name="Percent" xfId="2" builtinId="5" customBuiltin="1"/>
    <cellStyle name="Percent 2" xfId="69" xr:uid="{00000000-0005-0000-0000-00004A000000}"/>
    <cellStyle name="Percent 4" xfId="16" xr:uid="{00000000-0005-0000-0000-00004B000000}"/>
    <cellStyle name="Title 2" xfId="22" xr:uid="{00000000-0005-0000-0000-00004C000000}"/>
    <cellStyle name="Title 3" xfId="74" xr:uid="{00000000-0005-0000-0000-00004D000000}"/>
    <cellStyle name="Total 2" xfId="38" xr:uid="{00000000-0005-0000-0000-00004E000000}"/>
    <cellStyle name="Warning Text 2" xfId="35" xr:uid="{00000000-0005-0000-0000-00004F000000}"/>
    <cellStyle name="Warning Text 3" xfId="78" xr:uid="{00000000-0005-0000-0000-000050000000}"/>
    <cellStyle name="Year" xfId="6" xr:uid="{00000000-0005-0000-0000-000051000000}"/>
    <cellStyle name="Year 2" xfId="72" xr:uid="{00000000-0005-0000-0000-000052000000}"/>
    <cellStyle name="Year 3" xfId="64" xr:uid="{00000000-0005-0000-0000-000053000000}"/>
  </cellStyles>
  <dxfs count="20"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CCFF"/>
      <color rgb="FFFFFF99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3051377</xdr:colOff>
      <xdr:row>1</xdr:row>
      <xdr:rowOff>130175</xdr:rowOff>
    </xdr:from>
    <xdr:to>
      <xdr:col>8</xdr:col>
      <xdr:colOff>16367</xdr:colOff>
      <xdr:row>6</xdr:row>
      <xdr:rowOff>173304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533D62-3047-4229-90BD-E51C0668B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4477" y="511175"/>
          <a:ext cx="3661065" cy="1019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24@ofwat.gov.u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M69"/>
  <sheetViews>
    <sheetView zoomScale="80" zoomScaleNormal="80" workbookViewId="0"/>
  </sheetViews>
  <sheetFormatPr defaultColWidth="0" defaultRowHeight="13.5" customHeight="1" zeroHeight="1"/>
  <cols>
    <col min="1" max="1" width="9.6328125" style="314" customWidth="1"/>
    <col min="2" max="2" width="29.7265625" style="314" customWidth="1"/>
    <col min="3" max="3" width="18.7265625" style="314" customWidth="1"/>
    <col min="4" max="4" width="25" style="314" customWidth="1"/>
    <col min="5" max="5" width="68.08984375" style="314" customWidth="1"/>
    <col min="6" max="6" width="11.08984375" style="314" bestFit="1" customWidth="1"/>
    <col min="7" max="7" width="9.6328125" style="314" customWidth="1"/>
    <col min="8" max="8" width="4.81640625" style="314" customWidth="1"/>
    <col min="9" max="9" width="26" style="314" customWidth="1"/>
    <col min="10" max="13" width="0" style="314" hidden="1" customWidth="1"/>
    <col min="14" max="16384" width="9.6328125" style="314" hidden="1"/>
  </cols>
  <sheetData>
    <row r="1" spans="1:9" s="312" customFormat="1" ht="28" thickBot="1">
      <c r="A1" s="310" t="str">
        <f ca="1" xml:space="preserve"> RIGHT(CELL("filename", $A$1), LEN(CELL("filename", $A$1)) - SEARCH("]", CELL("filename", $A$1)))</f>
        <v xml:space="preserve">Cover </v>
      </c>
      <c r="B1" s="310"/>
      <c r="C1" s="311"/>
      <c r="D1" s="310"/>
      <c r="E1" s="310"/>
      <c r="F1" s="310"/>
      <c r="G1" s="310"/>
      <c r="H1" s="311"/>
      <c r="I1" s="311"/>
    </row>
    <row r="2" spans="1:9" ht="16.5" thickTop="1">
      <c r="A2" s="313"/>
      <c r="B2" s="313"/>
      <c r="C2" s="313"/>
      <c r="D2" s="313"/>
      <c r="E2" s="313"/>
      <c r="F2" s="313"/>
      <c r="G2" s="313"/>
      <c r="H2" s="313"/>
      <c r="I2" s="313"/>
    </row>
    <row r="3" spans="1:9" ht="16">
      <c r="A3" s="313"/>
      <c r="B3" s="315" t="s">
        <v>0</v>
      </c>
      <c r="C3" s="315" t="s">
        <v>1</v>
      </c>
      <c r="D3" s="313"/>
      <c r="E3" s="313"/>
      <c r="F3" s="313"/>
      <c r="G3" s="313"/>
      <c r="H3" s="313"/>
      <c r="I3" s="313"/>
    </row>
    <row r="4" spans="1:9" ht="16">
      <c r="A4" s="313"/>
      <c r="B4" s="315" t="s">
        <v>2</v>
      </c>
      <c r="C4" s="316">
        <v>2</v>
      </c>
      <c r="D4" s="313"/>
      <c r="E4" s="313"/>
      <c r="F4" s="313"/>
      <c r="G4" s="313"/>
      <c r="H4" s="313"/>
      <c r="I4" s="313"/>
    </row>
    <row r="5" spans="1:9" ht="16">
      <c r="A5" s="313"/>
      <c r="B5" s="315" t="s">
        <v>3</v>
      </c>
      <c r="C5" s="315" t="str">
        <f ca="1">MID(CELL("filename"), FIND("[", CELL("filename"), 1) + 1, FIND("]", CELL("filename"), 1) - FIND("[", CELL("filename"), 1) - 1)</f>
        <v>Past delivery tables.xlsx</v>
      </c>
      <c r="D5" s="313"/>
      <c r="E5" s="313"/>
      <c r="F5" s="313"/>
      <c r="G5" s="313"/>
      <c r="H5" s="313"/>
      <c r="I5" s="313"/>
    </row>
    <row r="6" spans="1:9" ht="16">
      <c r="A6" s="313"/>
      <c r="B6" s="315" t="s">
        <v>4</v>
      </c>
      <c r="C6" s="353" t="s">
        <v>5</v>
      </c>
      <c r="D6" s="313"/>
      <c r="E6" s="313"/>
      <c r="F6" s="313"/>
      <c r="G6" s="313"/>
      <c r="H6" s="313"/>
      <c r="I6" s="313"/>
    </row>
    <row r="7" spans="1:9" ht="16">
      <c r="A7" s="313"/>
      <c r="B7" s="315" t="s">
        <v>6</v>
      </c>
      <c r="C7" s="315" t="s">
        <v>7</v>
      </c>
      <c r="D7" s="313"/>
      <c r="E7" s="313"/>
      <c r="F7" s="313"/>
      <c r="G7" s="313"/>
      <c r="H7" s="313"/>
      <c r="I7" s="313"/>
    </row>
    <row r="8" spans="1:9" ht="16">
      <c r="A8" s="313"/>
      <c r="B8" s="315" t="s">
        <v>8</v>
      </c>
      <c r="C8" s="354" t="s">
        <v>9</v>
      </c>
      <c r="D8" s="313"/>
      <c r="E8" s="313"/>
      <c r="F8" s="313"/>
      <c r="G8" s="313"/>
      <c r="H8" s="313"/>
      <c r="I8" s="313"/>
    </row>
    <row r="9" spans="1:9" ht="16">
      <c r="A9" s="313"/>
      <c r="B9" s="313"/>
      <c r="C9" s="313"/>
      <c r="D9" s="313"/>
      <c r="E9" s="313"/>
      <c r="F9" s="313"/>
      <c r="G9" s="313"/>
      <c r="H9" s="313"/>
      <c r="I9" s="313"/>
    </row>
    <row r="10" spans="1:9" ht="14.5">
      <c r="A10" s="317"/>
      <c r="B10" s="317"/>
      <c r="C10" s="318"/>
      <c r="D10" s="317"/>
      <c r="E10" s="317"/>
      <c r="F10" s="317"/>
      <c r="G10" s="317"/>
      <c r="H10" s="317"/>
      <c r="I10" s="317"/>
    </row>
    <row r="11" spans="1:9" ht="14">
      <c r="A11" s="317"/>
      <c r="B11" s="317" t="s">
        <v>10</v>
      </c>
      <c r="C11" s="317" t="s">
        <v>11</v>
      </c>
      <c r="D11" s="317"/>
      <c r="E11" s="317"/>
      <c r="F11" s="317"/>
      <c r="G11" s="317"/>
      <c r="H11" s="317"/>
      <c r="I11" s="317"/>
    </row>
    <row r="12" spans="1:9" ht="14">
      <c r="A12" s="317"/>
      <c r="B12" s="317"/>
      <c r="C12" s="317"/>
      <c r="D12" s="317"/>
      <c r="E12" s="317"/>
      <c r="F12" s="317"/>
      <c r="G12" s="317"/>
      <c r="H12" s="317"/>
      <c r="I12" s="317"/>
    </row>
    <row r="13" spans="1:9" ht="14">
      <c r="A13" s="317"/>
      <c r="B13" s="317"/>
      <c r="C13" s="317"/>
      <c r="D13" s="317"/>
      <c r="E13" s="317"/>
      <c r="F13" s="317"/>
      <c r="G13" s="317"/>
      <c r="H13" s="317"/>
      <c r="I13" s="317"/>
    </row>
    <row r="14" spans="1:9" ht="14">
      <c r="A14" s="317"/>
      <c r="B14" s="317"/>
      <c r="C14" s="317"/>
      <c r="D14" s="317"/>
      <c r="E14" s="317"/>
      <c r="F14" s="317"/>
      <c r="G14" s="317"/>
      <c r="H14" s="317"/>
      <c r="I14" s="317"/>
    </row>
    <row r="15" spans="1:9" ht="14">
      <c r="A15" s="317"/>
      <c r="B15" s="317"/>
      <c r="C15" s="317"/>
      <c r="D15" s="317"/>
      <c r="E15" s="317"/>
      <c r="F15" s="317"/>
      <c r="G15" s="317"/>
      <c r="H15" s="317"/>
      <c r="I15" s="317"/>
    </row>
    <row r="16" spans="1:9" ht="14">
      <c r="A16" s="317"/>
      <c r="B16" s="317"/>
      <c r="C16" s="317"/>
      <c r="D16" s="317"/>
      <c r="E16" s="317"/>
      <c r="F16" s="317"/>
      <c r="G16" s="317"/>
      <c r="H16" s="317"/>
      <c r="I16" s="317"/>
    </row>
    <row r="17" spans="1:9" ht="14">
      <c r="A17" s="317"/>
      <c r="B17" s="317" t="s">
        <v>12</v>
      </c>
      <c r="C17" s="317" t="s">
        <v>13</v>
      </c>
      <c r="D17" s="317"/>
      <c r="E17" s="317"/>
      <c r="F17" s="317"/>
      <c r="G17" s="317"/>
      <c r="H17" s="317"/>
      <c r="I17" s="317"/>
    </row>
    <row r="18" spans="1:9" ht="14">
      <c r="A18" s="317"/>
      <c r="B18" s="317"/>
      <c r="C18" s="317"/>
      <c r="D18" s="317"/>
      <c r="E18" s="317"/>
      <c r="F18" s="317"/>
      <c r="G18" s="317"/>
      <c r="H18" s="317"/>
      <c r="I18" s="317"/>
    </row>
    <row r="19" spans="1:9" ht="16">
      <c r="A19" s="317"/>
      <c r="B19" s="317" t="s">
        <v>14</v>
      </c>
      <c r="C19" s="317" t="s">
        <v>13</v>
      </c>
      <c r="D19" s="319"/>
      <c r="E19" s="319"/>
      <c r="F19" s="319"/>
      <c r="G19" s="317"/>
      <c r="H19" s="317"/>
      <c r="I19" s="317"/>
    </row>
    <row r="20" spans="1:9" ht="16">
      <c r="A20" s="317"/>
      <c r="B20" s="317"/>
      <c r="C20" s="319"/>
      <c r="D20" s="319"/>
      <c r="E20" s="319"/>
      <c r="F20" s="319"/>
      <c r="G20" s="317"/>
      <c r="H20" s="317"/>
      <c r="I20" s="317"/>
    </row>
    <row r="21" spans="1:9" ht="14">
      <c r="A21" s="317"/>
      <c r="B21" s="317"/>
      <c r="C21" s="320" t="s">
        <v>15</v>
      </c>
      <c r="D21" s="321"/>
      <c r="E21" s="322" t="s">
        <v>16</v>
      </c>
      <c r="F21" s="323" t="s">
        <v>17</v>
      </c>
      <c r="G21" s="317"/>
      <c r="H21" s="317"/>
      <c r="I21" s="317"/>
    </row>
    <row r="22" spans="1:9" ht="14">
      <c r="A22" s="317"/>
      <c r="B22" s="317"/>
      <c r="C22" s="355"/>
      <c r="D22" s="356"/>
      <c r="E22" s="324"/>
      <c r="F22" s="325"/>
      <c r="G22" s="317"/>
      <c r="H22" s="317"/>
      <c r="I22" s="317"/>
    </row>
    <row r="23" spans="1:9" ht="14">
      <c r="A23" s="317"/>
      <c r="B23" s="317"/>
      <c r="C23" s="317"/>
      <c r="D23" s="317"/>
      <c r="E23" s="317"/>
      <c r="F23" s="317"/>
      <c r="G23" s="317"/>
      <c r="H23" s="317"/>
      <c r="I23" s="317"/>
    </row>
    <row r="24" spans="1:9" ht="14">
      <c r="A24" s="317"/>
      <c r="B24" s="317"/>
      <c r="C24" s="317"/>
      <c r="D24" s="317"/>
      <c r="E24" s="317"/>
      <c r="F24" s="317"/>
      <c r="G24" s="317"/>
      <c r="H24" s="317"/>
      <c r="I24" s="317"/>
    </row>
    <row r="25" spans="1:9" ht="16">
      <c r="B25" s="317" t="s">
        <v>18</v>
      </c>
      <c r="C25" s="326" t="s">
        <v>19</v>
      </c>
      <c r="D25" s="319"/>
      <c r="E25" s="319"/>
      <c r="F25" s="319"/>
    </row>
    <row r="26" spans="1:9" ht="16">
      <c r="B26" s="327"/>
      <c r="C26" s="319"/>
      <c r="D26" s="319"/>
      <c r="E26" s="319"/>
      <c r="F26" s="319"/>
    </row>
    <row r="27" spans="1:9" ht="16">
      <c r="B27" s="327"/>
      <c r="C27" s="320" t="s">
        <v>20</v>
      </c>
      <c r="D27" s="322" t="s">
        <v>21</v>
      </c>
      <c r="E27" s="322" t="s">
        <v>22</v>
      </c>
      <c r="F27" s="323" t="s">
        <v>23</v>
      </c>
    </row>
    <row r="28" spans="1:9" ht="16">
      <c r="B28" s="327"/>
      <c r="C28" s="357" t="s">
        <v>24</v>
      </c>
      <c r="D28" s="357"/>
      <c r="E28" s="357" t="s">
        <v>25</v>
      </c>
      <c r="F28" s="328"/>
    </row>
    <row r="29" spans="1:9" ht="16">
      <c r="B29" s="327"/>
      <c r="C29" s="358"/>
      <c r="D29" s="358"/>
      <c r="E29" s="358"/>
      <c r="F29" s="329"/>
    </row>
    <row r="30" spans="1:9" ht="16">
      <c r="B30" s="327"/>
      <c r="C30" s="358"/>
      <c r="D30" s="358"/>
      <c r="E30" s="358"/>
      <c r="F30" s="329"/>
    </row>
    <row r="31" spans="1:9" ht="16">
      <c r="B31" s="327"/>
      <c r="C31" s="359"/>
      <c r="D31" s="359"/>
      <c r="E31" s="359"/>
      <c r="F31" s="330"/>
    </row>
    <row r="32" spans="1:9" ht="14"/>
    <row r="33" spans="1:9" ht="14"/>
    <row r="34" spans="1:9" ht="14"/>
    <row r="35" spans="1:9" ht="14">
      <c r="A35" s="331" t="s">
        <v>26</v>
      </c>
      <c r="B35" s="331"/>
      <c r="C35" s="331"/>
      <c r="D35" s="332"/>
      <c r="E35" s="333"/>
      <c r="F35" s="333"/>
      <c r="G35" s="333"/>
      <c r="H35" s="333"/>
      <c r="I35" s="333"/>
    </row>
    <row r="36" spans="1:9" ht="14"/>
    <row r="37" spans="1:9" ht="14"/>
    <row r="38" spans="1:9" ht="14"/>
    <row r="39" spans="1:9" ht="14" hidden="1"/>
    <row r="40" spans="1:9" ht="14" hidden="1"/>
    <row r="41" spans="1:9" ht="14" hidden="1"/>
    <row r="42" spans="1:9" ht="14" hidden="1"/>
    <row r="43" spans="1:9" ht="14" hidden="1"/>
    <row r="44" spans="1:9" ht="14" hidden="1"/>
    <row r="45" spans="1:9" ht="14" hidden="1"/>
    <row r="46" spans="1:9" ht="14" hidden="1"/>
    <row r="47" spans="1:9" ht="14" hidden="1"/>
    <row r="48" spans="1:9" ht="14" hidden="1"/>
    <row r="49" ht="14" hidden="1"/>
    <row r="50" ht="14" hidden="1"/>
    <row r="51" ht="14" hidden="1"/>
    <row r="52" ht="14" hidden="1"/>
    <row r="53" ht="14" hidden="1"/>
    <row r="54" ht="14" hidden="1"/>
    <row r="55" ht="14" hidden="1"/>
    <row r="56" ht="14" hidden="1"/>
    <row r="57" ht="14" hidden="1"/>
    <row r="58" ht="14" hidden="1"/>
    <row r="59" ht="14" hidden="1"/>
    <row r="60" ht="14" hidden="1"/>
    <row r="61" ht="14" hidden="1"/>
    <row r="62" ht="14" hidden="1"/>
    <row r="63" ht="14" hidden="1"/>
    <row r="64" ht="13.5" customHeight="1"/>
    <row r="65" ht="13.5" customHeight="1"/>
    <row r="66" ht="13.5" customHeight="1"/>
    <row r="67" ht="13.5" customHeight="1"/>
    <row r="68" ht="13.5" customHeight="1"/>
    <row r="69" ht="13.5" customHeight="1"/>
  </sheetData>
  <mergeCells count="4">
    <mergeCell ref="C22:D22"/>
    <mergeCell ref="C28:C31"/>
    <mergeCell ref="D28:D31"/>
    <mergeCell ref="E28:E31"/>
  </mergeCells>
  <dataValidations count="1">
    <dataValidation type="list" allowBlank="1" showInputMessage="1" showErrorMessage="1" sqref="C28:C31" xr:uid="{00000000-0002-0000-0000-000000000000}">
      <formula1>"Formula Update,New Functionality,Logic Update,New Validation"</formula1>
    </dataValidation>
  </dataValidations>
  <hyperlinks>
    <hyperlink ref="C8" r:id="rId1" xr:uid="{749BDDE5-6818-43EB-A298-16E403EDE06B}"/>
  </hyperlinks>
  <pageMargins left="0.70866141732283472" right="0.70866141732283472" top="0.74803149606299213" bottom="0.74803149606299213" header="0.31496062992125984" footer="0.31496062992125984"/>
  <pageSetup paperSize="9" scale="50" orientation="portrait" r:id="rId2"/>
  <headerFooter>
    <oddHeader>&amp;LPage &amp;P of &amp;N&amp;CSheet: &amp;A&amp;ROFFICIAL SENSITIVE</oddHeader>
    <oddFooter>&amp;L&amp;F printed on &amp;D at &amp;T&amp;ROFWAT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106AA-0FBB-41DA-9D3F-4EB066A4E219}">
  <sheetPr>
    <tabColor rgb="FF99CCFF"/>
  </sheetPr>
  <dimension ref="A1:F9"/>
  <sheetViews>
    <sheetView zoomScale="80" zoomScaleNormal="80" workbookViewId="0"/>
  </sheetViews>
  <sheetFormatPr defaultRowHeight="14.5"/>
  <sheetData>
    <row r="1" spans="1:6">
      <c r="A1" s="108"/>
      <c r="B1" s="108"/>
      <c r="C1" s="108" t="s">
        <v>209</v>
      </c>
      <c r="D1" s="108"/>
      <c r="E1" s="108"/>
      <c r="F1" s="108"/>
    </row>
    <row r="2" spans="1:6">
      <c r="A2" s="108" t="s">
        <v>210</v>
      </c>
      <c r="B2" s="108" t="s">
        <v>211</v>
      </c>
      <c r="C2" s="108" t="s">
        <v>212</v>
      </c>
      <c r="D2" s="108" t="s">
        <v>97</v>
      </c>
      <c r="E2" s="108" t="s">
        <v>213</v>
      </c>
      <c r="F2" s="108" t="s">
        <v>214</v>
      </c>
    </row>
    <row r="3" spans="1:6">
      <c r="A3" s="108"/>
      <c r="B3" s="108"/>
      <c r="C3" s="108"/>
      <c r="D3" s="108"/>
      <c r="E3" s="108"/>
      <c r="F3" s="108"/>
    </row>
    <row r="4" spans="1:6">
      <c r="A4" s="108"/>
      <c r="B4" s="108" t="s">
        <v>215</v>
      </c>
      <c r="C4" s="108" t="s">
        <v>216</v>
      </c>
      <c r="D4" s="108" t="s">
        <v>107</v>
      </c>
      <c r="E4" s="108" t="s">
        <v>217</v>
      </c>
      <c r="F4" s="352">
        <f>Outputs!H9</f>
        <v>-0.73148180780929939</v>
      </c>
    </row>
    <row r="5" spans="1:6">
      <c r="A5" s="108"/>
      <c r="B5" s="108" t="s">
        <v>218</v>
      </c>
      <c r="C5" s="108" t="s">
        <v>219</v>
      </c>
      <c r="D5" s="108" t="s">
        <v>107</v>
      </c>
      <c r="E5" s="108" t="s">
        <v>217</v>
      </c>
      <c r="F5" s="352">
        <f>Outputs!F11</f>
        <v>0</v>
      </c>
    </row>
    <row r="6" spans="1:6">
      <c r="A6" s="108"/>
      <c r="B6" s="108" t="s">
        <v>220</v>
      </c>
      <c r="C6" s="108" t="s">
        <v>221</v>
      </c>
      <c r="D6" s="108" t="s">
        <v>222</v>
      </c>
      <c r="E6" s="108" t="s">
        <v>217</v>
      </c>
      <c r="F6" t="str">
        <f ca="1">CONCATENATE("[…]", TEXT(NOW(),"dd/mm/yyy hh:mm:ss"))</f>
        <v>[…]09/08/2024 09:13:03</v>
      </c>
    </row>
    <row r="7" spans="1:6">
      <c r="A7" s="108"/>
      <c r="B7" s="108" t="s">
        <v>223</v>
      </c>
      <c r="C7" s="108" t="s">
        <v>224</v>
      </c>
      <c r="D7" s="108" t="s">
        <v>222</v>
      </c>
      <c r="E7" s="108" t="s">
        <v>217</v>
      </c>
      <c r="F7" t="str">
        <f ca="1">MID(CELL("filename"),SEARCH("[",CELL("filename"))+1,SEARCH("]",CELL("filename"))-SEARCH("[",CELL("filename"))-1)</f>
        <v>Past delivery tables.xlsx</v>
      </c>
    </row>
    <row r="8" spans="1:6">
      <c r="A8" s="108"/>
      <c r="B8" s="108" t="s">
        <v>225</v>
      </c>
      <c r="C8" s="108" t="s">
        <v>226</v>
      </c>
      <c r="D8" s="108" t="s">
        <v>222</v>
      </c>
      <c r="E8" s="108" t="s">
        <v>217</v>
      </c>
      <c r="F8" t="s">
        <v>227</v>
      </c>
    </row>
    <row r="9" spans="1:6">
      <c r="A9" s="108"/>
      <c r="B9" s="108" t="s">
        <v>228</v>
      </c>
      <c r="C9" s="108" t="s">
        <v>229</v>
      </c>
      <c r="D9" s="108" t="s">
        <v>230</v>
      </c>
      <c r="E9" s="108" t="s">
        <v>217</v>
      </c>
      <c r="F9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I63"/>
  <sheetViews>
    <sheetView showGridLines="0" zoomScale="80" zoomScaleNormal="80" workbookViewId="0"/>
  </sheetViews>
  <sheetFormatPr defaultColWidth="0" defaultRowHeight="14.5" zeroHeight="1"/>
  <cols>
    <col min="1" max="4" width="1.08984375" customWidth="1"/>
    <col min="5" max="5" width="38.08984375" bestFit="1" customWidth="1"/>
    <col min="6" max="6" width="3" customWidth="1"/>
    <col min="7" max="7" width="45.6328125" bestFit="1" customWidth="1"/>
    <col min="8" max="8" width="11.08984375" customWidth="1"/>
    <col min="9" max="9" width="1.36328125" customWidth="1"/>
    <col min="10" max="16384" width="8.81640625" hidden="1"/>
  </cols>
  <sheetData>
    <row r="1" spans="1:9" ht="25">
      <c r="A1" s="70" t="str">
        <f ca="1" xml:space="preserve"> RIGHT(CELL("filename", $A$1), LEN(CELL("filename", $A$1)) - SEARCH("]", CELL("filename", $A$1)))</f>
        <v>Model formatting</v>
      </c>
      <c r="B1" s="79"/>
      <c r="C1" s="79"/>
      <c r="D1" s="79"/>
      <c r="E1" s="79"/>
      <c r="F1" s="79"/>
      <c r="G1" s="79"/>
      <c r="H1" s="79"/>
      <c r="I1" s="79"/>
    </row>
    <row r="2" spans="1:9"/>
    <row r="3" spans="1:9"/>
    <row r="4" spans="1:9">
      <c r="A4" s="80" t="s">
        <v>27</v>
      </c>
      <c r="B4" s="80"/>
      <c r="C4" s="81"/>
      <c r="D4" s="82"/>
      <c r="E4" s="80"/>
      <c r="F4" s="80"/>
      <c r="G4" s="80"/>
      <c r="H4" s="80"/>
      <c r="I4" s="80"/>
    </row>
    <row r="5" spans="1:9">
      <c r="A5" s="83"/>
      <c r="B5" s="83"/>
      <c r="C5" s="84"/>
      <c r="D5" s="85"/>
      <c r="E5" s="25"/>
      <c r="F5" s="25"/>
      <c r="G5" s="25"/>
      <c r="H5" s="25"/>
      <c r="I5" s="25"/>
    </row>
    <row r="6" spans="1:9">
      <c r="A6" s="83"/>
      <c r="B6" s="83"/>
      <c r="C6" s="84"/>
      <c r="D6" s="85"/>
      <c r="E6" s="86" t="s">
        <v>28</v>
      </c>
      <c r="F6" s="27"/>
      <c r="G6" s="27" t="s">
        <v>29</v>
      </c>
      <c r="H6" s="25"/>
      <c r="I6" s="25"/>
    </row>
    <row r="7" spans="1:9">
      <c r="A7" s="83"/>
      <c r="B7" s="83"/>
      <c r="C7" s="84"/>
      <c r="D7" s="85"/>
      <c r="E7" s="87"/>
      <c r="F7" s="27"/>
      <c r="G7" s="27"/>
      <c r="H7" s="25"/>
      <c r="I7" s="25"/>
    </row>
    <row r="8" spans="1:9">
      <c r="A8" s="83"/>
      <c r="B8" s="83"/>
      <c r="C8" s="84"/>
      <c r="D8" s="85"/>
      <c r="E8" s="88" t="s">
        <v>30</v>
      </c>
      <c r="F8" s="27"/>
      <c r="G8" s="27" t="s">
        <v>31</v>
      </c>
      <c r="H8" s="25"/>
      <c r="I8" s="25"/>
    </row>
    <row r="9" spans="1:9">
      <c r="A9" s="83"/>
      <c r="B9" s="83"/>
      <c r="C9" s="84"/>
      <c r="D9" s="85"/>
      <c r="E9" s="87"/>
      <c r="F9" s="27"/>
      <c r="G9" s="27"/>
      <c r="H9" s="25"/>
      <c r="I9" s="25"/>
    </row>
    <row r="10" spans="1:9">
      <c r="A10" s="83"/>
      <c r="B10" s="83"/>
      <c r="C10" s="84"/>
      <c r="D10" s="85"/>
      <c r="E10" s="133" t="s">
        <v>32</v>
      </c>
      <c r="F10" s="27"/>
      <c r="G10" s="27" t="s">
        <v>33</v>
      </c>
      <c r="H10" s="25"/>
      <c r="I10" s="25"/>
    </row>
    <row r="11" spans="1:9">
      <c r="A11" s="83"/>
      <c r="B11" s="83"/>
      <c r="C11" s="84"/>
      <c r="D11" s="85"/>
      <c r="E11" s="87"/>
      <c r="F11" s="27"/>
      <c r="G11" s="27"/>
      <c r="H11" s="25"/>
      <c r="I11" s="25"/>
    </row>
    <row r="12" spans="1:9">
      <c r="A12" s="83"/>
      <c r="B12" s="83"/>
      <c r="C12" s="84"/>
      <c r="D12" s="85"/>
      <c r="E12" s="89" t="s">
        <v>34</v>
      </c>
      <c r="F12" s="27"/>
      <c r="G12" s="27" t="s">
        <v>35</v>
      </c>
      <c r="H12" s="25"/>
      <c r="I12" s="25"/>
    </row>
    <row r="13" spans="1:9">
      <c r="A13" s="83"/>
      <c r="B13" s="83"/>
      <c r="C13" s="84"/>
      <c r="D13" s="85"/>
      <c r="E13" s="87"/>
      <c r="F13" s="27"/>
      <c r="G13" s="27"/>
      <c r="H13" s="25"/>
      <c r="I13" s="25"/>
    </row>
    <row r="14" spans="1:9">
      <c r="A14" s="83"/>
      <c r="B14" s="83"/>
      <c r="C14" s="84"/>
      <c r="D14" s="85"/>
      <c r="E14" s="90" t="s">
        <v>36</v>
      </c>
      <c r="F14" s="27"/>
      <c r="G14" s="27" t="s">
        <v>37</v>
      </c>
      <c r="H14" s="27"/>
      <c r="I14" s="27"/>
    </row>
    <row r="15" spans="1:9">
      <c r="A15" s="83"/>
      <c r="B15" s="83"/>
      <c r="C15" s="84"/>
      <c r="D15" s="85"/>
      <c r="E15" s="27"/>
      <c r="F15" s="27"/>
      <c r="G15" s="27"/>
      <c r="H15" s="27"/>
      <c r="I15" s="27"/>
    </row>
    <row r="16" spans="1:9">
      <c r="A16" s="83"/>
      <c r="B16" s="83"/>
      <c r="C16" s="84"/>
      <c r="D16" s="85"/>
      <c r="E16" s="27"/>
      <c r="F16" s="27"/>
      <c r="G16" s="27"/>
      <c r="H16" s="27"/>
      <c r="I16" s="27"/>
    </row>
    <row r="17" spans="1:9">
      <c r="A17" s="80" t="s">
        <v>38</v>
      </c>
      <c r="B17" s="80"/>
      <c r="C17" s="81"/>
      <c r="D17" s="82"/>
      <c r="E17" s="80"/>
      <c r="F17" s="80"/>
      <c r="G17" s="80"/>
      <c r="H17" s="80"/>
      <c r="I17" s="80"/>
    </row>
    <row r="18" spans="1:9">
      <c r="A18" s="91"/>
      <c r="B18" s="91"/>
      <c r="C18" s="92"/>
      <c r="D18" s="93"/>
      <c r="E18" s="25"/>
      <c r="F18" s="25"/>
      <c r="G18" s="25"/>
      <c r="H18" s="25"/>
      <c r="I18" s="25"/>
    </row>
    <row r="19" spans="1:9">
      <c r="A19" s="91"/>
      <c r="B19" s="91" t="s">
        <v>39</v>
      </c>
      <c r="C19" s="92"/>
      <c r="D19" s="93"/>
      <c r="E19" s="25"/>
      <c r="F19" s="25"/>
      <c r="G19" s="25"/>
      <c r="H19" s="25"/>
      <c r="I19" s="25"/>
    </row>
    <row r="20" spans="1:9">
      <c r="A20" s="91"/>
      <c r="B20" s="91"/>
      <c r="C20" s="92"/>
      <c r="D20" s="93"/>
      <c r="E20" s="94" t="s">
        <v>40</v>
      </c>
      <c r="F20" s="27"/>
      <c r="G20" s="26" t="s">
        <v>41</v>
      </c>
      <c r="H20" s="25"/>
      <c r="I20" s="25"/>
    </row>
    <row r="21" spans="1:9">
      <c r="A21" s="91"/>
      <c r="B21" s="91"/>
      <c r="C21" s="92"/>
      <c r="D21" s="93"/>
      <c r="E21" s="26"/>
      <c r="F21" s="27"/>
      <c r="G21" s="27"/>
      <c r="H21" s="25"/>
      <c r="I21" s="25"/>
    </row>
    <row r="22" spans="1:9">
      <c r="A22" s="91"/>
      <c r="B22" s="91"/>
      <c r="C22" s="92"/>
      <c r="D22" s="93"/>
      <c r="E22" s="95" t="s">
        <v>42</v>
      </c>
      <c r="F22" s="27"/>
      <c r="G22" s="26" t="s">
        <v>43</v>
      </c>
      <c r="H22" s="25"/>
      <c r="I22" s="25"/>
    </row>
    <row r="23" spans="1:9">
      <c r="A23" s="91"/>
      <c r="B23" s="91"/>
      <c r="C23" s="92"/>
      <c r="D23" s="93"/>
      <c r="E23" s="26"/>
      <c r="F23" s="27"/>
      <c r="G23" s="26"/>
      <c r="H23" s="25"/>
      <c r="I23" s="25"/>
    </row>
    <row r="24" spans="1:9">
      <c r="A24" s="91"/>
      <c r="B24" s="91"/>
      <c r="C24" s="92"/>
      <c r="D24" s="93"/>
      <c r="E24" s="26" t="s">
        <v>44</v>
      </c>
      <c r="F24" s="27"/>
      <c r="G24" s="25" t="s">
        <v>45</v>
      </c>
      <c r="H24" s="25"/>
      <c r="I24" s="25"/>
    </row>
    <row r="25" spans="1:9">
      <c r="A25" s="91"/>
      <c r="B25" s="91"/>
      <c r="C25" s="92"/>
      <c r="D25" s="93"/>
      <c r="E25" s="26"/>
      <c r="F25" s="27"/>
      <c r="G25" s="25"/>
      <c r="H25" s="25"/>
      <c r="I25" s="25"/>
    </row>
    <row r="26" spans="1:9">
      <c r="A26" s="91"/>
      <c r="B26" s="91"/>
      <c r="C26" s="92"/>
      <c r="D26" s="93"/>
      <c r="E26" s="123" t="s">
        <v>46</v>
      </c>
      <c r="F26" s="27"/>
      <c r="G26" s="25" t="s">
        <v>47</v>
      </c>
      <c r="H26" s="25"/>
      <c r="I26" s="25"/>
    </row>
    <row r="27" spans="1:9">
      <c r="A27" s="91"/>
      <c r="B27" s="91"/>
      <c r="C27" s="92"/>
      <c r="D27" s="93"/>
      <c r="E27" s="26"/>
      <c r="F27" s="27"/>
      <c r="G27" s="25"/>
      <c r="H27" s="25"/>
      <c r="I27" s="25"/>
    </row>
    <row r="28" spans="1:9">
      <c r="A28" s="91"/>
      <c r="B28" s="91" t="s">
        <v>48</v>
      </c>
      <c r="C28" s="92"/>
      <c r="D28" s="93"/>
      <c r="E28" s="26"/>
      <c r="F28" s="27"/>
      <c r="G28" s="26"/>
      <c r="H28" s="25"/>
      <c r="I28" s="25"/>
    </row>
    <row r="29" spans="1:9">
      <c r="A29" s="91"/>
      <c r="B29" s="91"/>
      <c r="C29" s="92"/>
      <c r="D29" s="93"/>
      <c r="E29" s="96" t="s">
        <v>49</v>
      </c>
      <c r="F29" s="27"/>
      <c r="G29" s="26" t="s">
        <v>50</v>
      </c>
      <c r="H29" s="25"/>
      <c r="I29" s="25"/>
    </row>
    <row r="30" spans="1:9">
      <c r="A30" s="91"/>
      <c r="B30" s="91"/>
      <c r="C30" s="92"/>
      <c r="D30" s="93"/>
      <c r="E30" s="26"/>
      <c r="F30" s="27"/>
      <c r="G30" s="26"/>
      <c r="H30" s="25"/>
      <c r="I30" s="25"/>
    </row>
    <row r="31" spans="1:9">
      <c r="A31" s="91"/>
      <c r="B31" s="91"/>
      <c r="C31" s="92"/>
      <c r="D31" s="93"/>
      <c r="E31" s="97" t="s">
        <v>51</v>
      </c>
      <c r="F31" s="27"/>
      <c r="G31" s="26" t="s">
        <v>52</v>
      </c>
      <c r="H31" s="25"/>
      <c r="I31" s="25"/>
    </row>
    <row r="32" spans="1:9">
      <c r="A32" s="91"/>
      <c r="B32" s="91"/>
      <c r="C32" s="92"/>
      <c r="D32" s="93"/>
      <c r="E32" s="26"/>
      <c r="F32" s="27"/>
      <c r="G32" s="25"/>
      <c r="H32" s="25"/>
      <c r="I32" s="25"/>
    </row>
    <row r="33" spans="1:9">
      <c r="A33" s="91"/>
      <c r="B33" s="91"/>
      <c r="C33" s="92"/>
      <c r="D33" s="93"/>
      <c r="E33" s="98" t="s">
        <v>53</v>
      </c>
      <c r="F33" s="27"/>
      <c r="G33" s="26" t="s">
        <v>54</v>
      </c>
      <c r="H33" s="25"/>
      <c r="I33" s="25"/>
    </row>
    <row r="34" spans="1:9">
      <c r="A34" s="91"/>
      <c r="B34" s="91"/>
      <c r="C34" s="92"/>
      <c r="D34" s="93"/>
      <c r="E34" s="26"/>
      <c r="F34" s="27"/>
      <c r="G34" s="26"/>
      <c r="H34" s="25"/>
      <c r="I34" s="25"/>
    </row>
    <row r="35" spans="1:9">
      <c r="A35" s="91"/>
      <c r="B35" s="91"/>
      <c r="C35" s="92"/>
      <c r="D35" s="93"/>
      <c r="E35" s="97" t="s">
        <v>55</v>
      </c>
      <c r="F35" s="27"/>
      <c r="G35" s="26" t="s">
        <v>56</v>
      </c>
      <c r="H35" s="25"/>
      <c r="I35" s="25"/>
    </row>
    <row r="36" spans="1:9">
      <c r="A36" s="91"/>
      <c r="B36" s="91"/>
      <c r="C36" s="92"/>
      <c r="D36" s="93"/>
      <c r="E36" s="27"/>
      <c r="F36" s="27"/>
      <c r="G36" s="26"/>
      <c r="H36" s="25"/>
      <c r="I36" s="25"/>
    </row>
    <row r="37" spans="1:9">
      <c r="A37" s="91"/>
      <c r="B37" s="91" t="s">
        <v>57</v>
      </c>
      <c r="C37" s="92"/>
      <c r="D37" s="93"/>
      <c r="E37" s="26"/>
      <c r="F37" s="27"/>
      <c r="G37" s="26"/>
      <c r="H37" s="25"/>
      <c r="I37" s="25"/>
    </row>
    <row r="38" spans="1:9">
      <c r="A38" s="91"/>
      <c r="B38" s="91"/>
      <c r="C38" s="92"/>
      <c r="D38" s="93"/>
      <c r="E38" s="99" t="s">
        <v>58</v>
      </c>
      <c r="F38" s="27"/>
      <c r="G38" s="26" t="s">
        <v>59</v>
      </c>
      <c r="H38" s="25"/>
      <c r="I38" s="25"/>
    </row>
    <row r="39" spans="1:9">
      <c r="A39" s="91"/>
      <c r="B39" s="91"/>
      <c r="C39" s="92"/>
      <c r="D39" s="93"/>
      <c r="E39" s="25"/>
      <c r="F39" s="27"/>
      <c r="G39" s="26"/>
      <c r="H39" s="25"/>
      <c r="I39" s="25"/>
    </row>
    <row r="40" spans="1:9">
      <c r="A40" s="91"/>
      <c r="B40" s="91"/>
      <c r="C40" s="92"/>
      <c r="D40" s="93"/>
      <c r="E40" s="100" t="s">
        <v>60</v>
      </c>
      <c r="F40" s="26"/>
      <c r="G40" s="27" t="s">
        <v>61</v>
      </c>
      <c r="H40" s="25"/>
      <c r="I40" s="25"/>
    </row>
    <row r="41" spans="1:9">
      <c r="A41" s="91"/>
      <c r="B41" s="91"/>
      <c r="C41" s="92"/>
      <c r="D41" s="93"/>
      <c r="E41" s="26"/>
      <c r="F41" s="27"/>
      <c r="G41" s="26"/>
      <c r="H41" s="25"/>
      <c r="I41" s="25"/>
    </row>
    <row r="42" spans="1:9">
      <c r="A42" s="91"/>
      <c r="B42" s="91"/>
      <c r="C42" s="92"/>
      <c r="D42" s="93"/>
      <c r="E42" s="101" t="s">
        <v>62</v>
      </c>
      <c r="F42" s="27"/>
      <c r="G42" s="26" t="s">
        <v>63</v>
      </c>
      <c r="H42" s="25"/>
      <c r="I42" s="25"/>
    </row>
    <row r="43" spans="1:9">
      <c r="A43" s="91"/>
      <c r="B43" s="91"/>
      <c r="C43" s="92"/>
      <c r="D43" s="93"/>
      <c r="E43" s="25"/>
      <c r="F43" s="27"/>
      <c r="G43" s="26"/>
      <c r="H43" s="25"/>
      <c r="I43" s="25"/>
    </row>
    <row r="44" spans="1:9">
      <c r="A44" s="91"/>
      <c r="B44" s="91"/>
      <c r="C44" s="92"/>
      <c r="D44" s="93"/>
      <c r="E44" s="102" t="s">
        <v>64</v>
      </c>
      <c r="F44" s="27"/>
      <c r="G44" s="26" t="s">
        <v>65</v>
      </c>
      <c r="H44" s="25"/>
      <c r="I44" s="25"/>
    </row>
    <row r="45" spans="1:9">
      <c r="A45" s="83"/>
      <c r="B45" s="103"/>
      <c r="C45" s="104"/>
      <c r="D45" s="85"/>
      <c r="E45" s="25"/>
      <c r="F45" s="27"/>
      <c r="G45" s="27"/>
      <c r="H45" s="27"/>
      <c r="I45" s="27"/>
    </row>
    <row r="46" spans="1:9">
      <c r="A46" s="83"/>
      <c r="B46" s="103"/>
      <c r="C46" s="104"/>
      <c r="D46" s="85"/>
      <c r="E46" s="105" t="s">
        <v>66</v>
      </c>
      <c r="F46" s="27"/>
      <c r="G46" s="26" t="s">
        <v>67</v>
      </c>
      <c r="H46" s="27"/>
      <c r="I46" s="27"/>
    </row>
    <row r="47" spans="1:9">
      <c r="A47" s="83"/>
      <c r="B47" s="103"/>
      <c r="C47" s="104"/>
      <c r="D47" s="85"/>
      <c r="E47" s="25"/>
      <c r="F47" s="27"/>
      <c r="G47" s="27"/>
      <c r="H47" s="27"/>
      <c r="I47" s="27"/>
    </row>
    <row r="48" spans="1:9">
      <c r="A48" s="91"/>
      <c r="B48" s="91" t="s">
        <v>68</v>
      </c>
      <c r="C48" s="92"/>
      <c r="D48" s="93"/>
      <c r="E48" s="26"/>
      <c r="F48" s="27"/>
      <c r="G48" s="26"/>
      <c r="H48" s="25"/>
      <c r="I48" s="25"/>
    </row>
    <row r="49" spans="1:9">
      <c r="A49" s="91"/>
      <c r="B49" s="91"/>
      <c r="C49" s="92"/>
      <c r="D49" s="93"/>
      <c r="E49" s="132" t="s">
        <v>69</v>
      </c>
      <c r="F49" s="27"/>
      <c r="G49" s="26" t="s">
        <v>70</v>
      </c>
      <c r="H49" s="25"/>
      <c r="I49" s="25"/>
    </row>
    <row r="50" spans="1:9">
      <c r="A50" s="91"/>
      <c r="B50" s="91"/>
      <c r="C50" s="92"/>
      <c r="D50" s="93"/>
      <c r="E50" s="25"/>
      <c r="F50" s="27"/>
      <c r="G50" s="26"/>
      <c r="H50" s="25"/>
      <c r="I50" s="25"/>
    </row>
    <row r="51" spans="1:9">
      <c r="A51" s="91"/>
      <c r="B51" s="91"/>
      <c r="C51" s="92"/>
      <c r="D51" s="93"/>
      <c r="E51" s="106" t="s">
        <v>71</v>
      </c>
      <c r="F51" s="27"/>
      <c r="G51" s="26" t="s">
        <v>72</v>
      </c>
      <c r="H51" s="25"/>
      <c r="I51" s="25"/>
    </row>
    <row r="52" spans="1:9">
      <c r="A52" s="91"/>
      <c r="B52" s="91"/>
      <c r="C52" s="92"/>
      <c r="D52" s="93"/>
      <c r="E52" s="26"/>
      <c r="F52" s="27"/>
      <c r="G52" s="26"/>
      <c r="H52" s="25"/>
      <c r="I52" s="25"/>
    </row>
    <row r="53" spans="1:9">
      <c r="A53" s="91"/>
      <c r="B53" s="91"/>
      <c r="C53" s="92"/>
      <c r="D53" s="93"/>
      <c r="E53" s="107" t="s">
        <v>73</v>
      </c>
      <c r="F53" s="27"/>
      <c r="G53" s="26" t="s">
        <v>74</v>
      </c>
      <c r="H53" s="25"/>
      <c r="I53" s="25"/>
    </row>
    <row r="54" spans="1:9">
      <c r="A54" s="91"/>
      <c r="B54" s="91"/>
      <c r="C54" s="92"/>
      <c r="D54" s="93"/>
      <c r="E54" s="26"/>
      <c r="F54" s="27"/>
      <c r="G54" s="26"/>
      <c r="H54" s="25"/>
      <c r="I54" s="25"/>
    </row>
    <row r="55" spans="1:9">
      <c r="A55" s="91"/>
      <c r="B55" s="91"/>
      <c r="C55" s="92"/>
      <c r="D55" s="93"/>
      <c r="E55" s="25"/>
      <c r="F55" s="25"/>
      <c r="G55" s="25"/>
      <c r="H55" s="25"/>
      <c r="I55" s="25"/>
    </row>
    <row r="56" spans="1:9" s="108" customFormat="1">
      <c r="A56" s="80" t="s">
        <v>75</v>
      </c>
      <c r="B56" s="80"/>
      <c r="C56" s="81"/>
      <c r="D56" s="82"/>
      <c r="E56" s="80"/>
      <c r="F56" s="80"/>
      <c r="G56" s="80"/>
      <c r="H56" s="80"/>
      <c r="I56" s="80"/>
    </row>
    <row r="57" spans="1:9"/>
    <row r="58" spans="1:9">
      <c r="E58" t="s">
        <v>76</v>
      </c>
      <c r="G58" s="27" t="s">
        <v>77</v>
      </c>
    </row>
    <row r="59" spans="1:9">
      <c r="E59" t="s">
        <v>78</v>
      </c>
      <c r="G59" s="27" t="s">
        <v>79</v>
      </c>
    </row>
    <row r="60" spans="1:9">
      <c r="E60" t="s">
        <v>80</v>
      </c>
      <c r="G60" s="27" t="s">
        <v>81</v>
      </c>
    </row>
    <row r="61" spans="1:9"/>
    <row r="62" spans="1:9" s="110" customFormat="1">
      <c r="A62" s="109" t="s">
        <v>82</v>
      </c>
    </row>
    <row r="63" spans="1:9"/>
  </sheetData>
  <printOptions headings="1"/>
  <pageMargins left="0.70866141732283472" right="0.70866141732283472" top="0.74803149606299213" bottom="0.74803149606299213" header="0.31496062992125984" footer="0.31496062992125984"/>
  <pageSetup paperSize="9" scale="80" fitToHeight="2" orientation="portrait" r:id="rId1"/>
  <headerFooter>
    <oddHeader>&amp;LPage &amp;P of &amp;N&amp;CSheet: &amp;A</oddHeader>
    <oddFooter>&amp;L&amp;F (Printed on &amp;D at &amp;T)&amp;ROfwat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I18"/>
  <sheetViews>
    <sheetView showGridLines="0" zoomScale="80" zoomScaleNormal="80" workbookViewId="0"/>
  </sheetViews>
  <sheetFormatPr defaultColWidth="0" defaultRowHeight="14.5" zeroHeight="1"/>
  <cols>
    <col min="1" max="1" width="8.81640625" customWidth="1"/>
    <col min="2" max="2" width="30.08984375" customWidth="1"/>
    <col min="3" max="3" width="8.81640625" customWidth="1"/>
    <col min="4" max="4" width="30.08984375" customWidth="1"/>
    <col min="5" max="5" width="8.81640625" customWidth="1"/>
    <col min="6" max="6" width="30.08984375" customWidth="1"/>
    <col min="7" max="7" width="8.81640625" customWidth="1"/>
    <col min="8" max="8" width="30.08984375" customWidth="1"/>
    <col min="9" max="9" width="8.81640625" customWidth="1"/>
    <col min="10" max="16384" width="8.81640625" hidden="1"/>
  </cols>
  <sheetData>
    <row r="1" spans="1:9" ht="25">
      <c r="A1" s="70" t="str">
        <f ca="1" xml:space="preserve"> RIGHT(CELL("filename", $A$1), LEN(CELL("filename", $A$1)) - SEARCH("]", CELL("filename", $A$1)))</f>
        <v>ToC</v>
      </c>
      <c r="B1" s="79"/>
      <c r="C1" s="79"/>
      <c r="D1" s="79"/>
      <c r="E1" s="79"/>
      <c r="F1" s="79"/>
      <c r="G1" s="79"/>
      <c r="H1" s="79"/>
      <c r="I1" s="79"/>
    </row>
    <row r="2" spans="1:9"/>
    <row r="3" spans="1:9">
      <c r="B3" t="s">
        <v>83</v>
      </c>
      <c r="D3" t="s">
        <v>84</v>
      </c>
      <c r="F3" t="s">
        <v>85</v>
      </c>
      <c r="H3" t="s">
        <v>86</v>
      </c>
    </row>
    <row r="4" spans="1:9"/>
    <row r="5" spans="1:9">
      <c r="B5" s="293" t="str">
        <f ca="1" xml:space="preserve"> 'Model formatting'!A1</f>
        <v>Model formatting</v>
      </c>
      <c r="D5" s="292" t="str">
        <f ca="1" xml:space="preserve"> InputsR!A1</f>
        <v>InputsR</v>
      </c>
      <c r="F5" s="293" t="str">
        <f ca="1" xml:space="preserve"> Time!A1</f>
        <v>Time</v>
      </c>
      <c r="H5" s="262" t="str">
        <f ca="1" xml:space="preserve"> Outputs!A1</f>
        <v>Outputs</v>
      </c>
    </row>
    <row r="6" spans="1:9">
      <c r="B6" t="s">
        <v>87</v>
      </c>
      <c r="D6" s="108" t="s">
        <v>88</v>
      </c>
      <c r="F6" s="108" t="s">
        <v>89</v>
      </c>
      <c r="H6" t="s">
        <v>90</v>
      </c>
    </row>
    <row r="7" spans="1:9">
      <c r="F7" s="108"/>
    </row>
    <row r="8" spans="1:9">
      <c r="B8" s="293" t="str">
        <f ca="1" xml:space="preserve"> A1</f>
        <v>ToC</v>
      </c>
      <c r="D8" s="292" t="str">
        <f ca="1" xml:space="preserve"> InputsC!A1</f>
        <v>InputsC</v>
      </c>
      <c r="F8" s="293" t="str">
        <f ca="1" xml:space="preserve"> Index!A1</f>
        <v>Index</v>
      </c>
    </row>
    <row r="9" spans="1:9">
      <c r="B9" t="s">
        <v>91</v>
      </c>
      <c r="D9" s="108" t="s">
        <v>92</v>
      </c>
      <c r="F9" s="108" t="s">
        <v>93</v>
      </c>
    </row>
    <row r="10" spans="1:9"/>
    <row r="11" spans="1:9">
      <c r="F11" s="293" t="str">
        <f ca="1" xml:space="preserve"> Calc!A1</f>
        <v>Calc</v>
      </c>
    </row>
    <row r="12" spans="1:9">
      <c r="F12" s="108" t="s">
        <v>94</v>
      </c>
    </row>
    <row r="13" spans="1:9">
      <c r="F13" t="s">
        <v>95</v>
      </c>
    </row>
    <row r="14" spans="1:9"/>
    <row r="15" spans="1:9">
      <c r="D15" s="108"/>
    </row>
    <row r="16" spans="1:9"/>
    <row r="17" spans="1:9">
      <c r="A17" s="109" t="s">
        <v>82</v>
      </c>
      <c r="B17" s="110"/>
      <c r="C17" s="110"/>
      <c r="D17" s="110"/>
      <c r="E17" s="110"/>
      <c r="F17" s="110"/>
      <c r="G17" s="110"/>
      <c r="H17" s="110"/>
      <c r="I17" s="110"/>
    </row>
    <row r="18" spans="1:9" s="149" customFormat="1"/>
  </sheetData>
  <printOptions headings="1"/>
  <pageMargins left="0.70866141732283472" right="0.70866141732283472" top="0.74803149606299213" bottom="0.74803149606299213" header="0.31496062992125984" footer="0.31496062992125984"/>
  <pageSetup paperSize="9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99"/>
    <pageSetUpPr fitToPage="1"/>
  </sheetPr>
  <dimension ref="A1:AC137"/>
  <sheetViews>
    <sheetView showGridLines="0" tabSelected="1" zoomScale="80" zoomScaleNormal="80" workbookViewId="0">
      <pane xSplit="9" ySplit="5" topLeftCell="J6" activePane="bottomRight" state="frozen"/>
      <selection pane="topRight"/>
      <selection pane="bottomLeft"/>
      <selection pane="bottomRight" activeCell="P19" sqref="P19"/>
    </sheetView>
  </sheetViews>
  <sheetFormatPr defaultColWidth="0" defaultRowHeight="13"/>
  <cols>
    <col min="1" max="4" width="1.08984375" style="19" customWidth="1"/>
    <col min="5" max="5" width="60.6328125" style="19" bestFit="1" customWidth="1"/>
    <col min="6" max="6" width="11.81640625" style="19" customWidth="1"/>
    <col min="7" max="8" width="11.08984375" style="19" customWidth="1"/>
    <col min="9" max="9" width="1.36328125" style="19" customWidth="1"/>
    <col min="10" max="18" width="11.81640625" style="19" customWidth="1"/>
    <col min="19" max="20" width="12.6328125" style="1" hidden="1" customWidth="1"/>
    <col min="21" max="29" width="11.6328125" style="1" hidden="1" customWidth="1"/>
    <col min="30" max="16384" width="9.36328125" style="1" hidden="1"/>
  </cols>
  <sheetData>
    <row r="1" spans="1:21" s="71" customFormat="1" ht="25">
      <c r="A1" s="70" t="str">
        <f ca="1" xml:space="preserve"> RIGHT(CELL("filename", A1), LEN(CELL("filename", A1)) - SEARCH("]", CELL("filename", A1)))</f>
        <v>InputsR</v>
      </c>
      <c r="C1" s="72"/>
      <c r="E1" s="73"/>
    </row>
    <row r="2" spans="1:21" s="112" customFormat="1">
      <c r="A2" s="111"/>
      <c r="B2" s="111"/>
      <c r="C2" s="111"/>
      <c r="D2" s="111"/>
      <c r="E2" s="117" t="str">
        <f xml:space="preserve"> Time!E$2</f>
        <v>Model Period Ending</v>
      </c>
      <c r="F2" s="131"/>
      <c r="G2" s="117"/>
      <c r="H2" s="117"/>
      <c r="I2" s="117"/>
      <c r="J2" s="153">
        <f xml:space="preserve"> Time!J$21</f>
        <v>42825</v>
      </c>
      <c r="K2" s="153">
        <f xml:space="preserve"> Time!K$21</f>
        <v>43190</v>
      </c>
      <c r="L2" s="153">
        <f xml:space="preserve"> Time!L$21</f>
        <v>43555</v>
      </c>
      <c r="M2" s="153">
        <f xml:space="preserve"> Time!M$21</f>
        <v>43921</v>
      </c>
      <c r="N2" s="153">
        <f xml:space="preserve"> Time!N$21</f>
        <v>44286</v>
      </c>
      <c r="O2" s="153">
        <f xml:space="preserve"> Time!O$21</f>
        <v>44651</v>
      </c>
      <c r="P2" s="153">
        <f xml:space="preserve"> Time!P$21</f>
        <v>45016</v>
      </c>
      <c r="Q2" s="153">
        <f xml:space="preserve"> Time!Q$21</f>
        <v>45382</v>
      </c>
      <c r="R2" s="153">
        <f xml:space="preserve"> Time!R$21</f>
        <v>45747</v>
      </c>
    </row>
    <row r="3" spans="1:21" s="112" customFormat="1">
      <c r="A3" s="111"/>
      <c r="B3" s="111"/>
      <c r="C3" s="111"/>
      <c r="D3" s="111"/>
      <c r="E3" s="117" t="str">
        <f xml:space="preserve"> Time!E$3</f>
        <v>Pre Forecast vs Forecast</v>
      </c>
      <c r="F3" s="131"/>
      <c r="G3" s="131"/>
      <c r="H3" s="117"/>
      <c r="I3" s="117"/>
      <c r="J3" s="117" t="str">
        <f xml:space="preserve"> Time!J$55</f>
        <v>Pre Fcst</v>
      </c>
      <c r="K3" s="117" t="str">
        <f xml:space="preserve"> Time!K$55</f>
        <v>Pre Fcst</v>
      </c>
      <c r="L3" s="117" t="str">
        <f xml:space="preserve"> Time!L$55</f>
        <v>Pre Fcst</v>
      </c>
      <c r="M3" s="117" t="str">
        <f xml:space="preserve"> Time!M$55</f>
        <v>Pre Fcst</v>
      </c>
      <c r="N3" s="117" t="str">
        <f xml:space="preserve"> Time!N$55</f>
        <v>Forecast</v>
      </c>
      <c r="O3" s="117" t="str">
        <f xml:space="preserve"> Time!O$55</f>
        <v>Forecast</v>
      </c>
      <c r="P3" s="117" t="str">
        <f xml:space="preserve"> Time!P$55</f>
        <v>Forecast</v>
      </c>
      <c r="Q3" s="117" t="str">
        <f xml:space="preserve"> Time!Q$55</f>
        <v>Forecast</v>
      </c>
      <c r="R3" s="117" t="str">
        <f xml:space="preserve"> Time!R$55</f>
        <v>Forecast</v>
      </c>
    </row>
    <row r="4" spans="1:21" s="116" customFormat="1">
      <c r="A4" s="113"/>
      <c r="B4" s="113"/>
      <c r="C4" s="113"/>
      <c r="D4" s="113"/>
      <c r="E4" s="117" t="str">
        <f xml:space="preserve"> Time!E$4</f>
        <v>Financial Year Ending</v>
      </c>
      <c r="F4" s="131"/>
      <c r="G4" s="131"/>
      <c r="H4" s="117"/>
      <c r="I4" s="117"/>
      <c r="J4" s="118">
        <f xml:space="preserve"> Time!J$29</f>
        <v>2017</v>
      </c>
      <c r="K4" s="118">
        <f xml:space="preserve"> Time!K$29</f>
        <v>2018</v>
      </c>
      <c r="L4" s="118">
        <f xml:space="preserve"> Time!L$29</f>
        <v>2019</v>
      </c>
      <c r="M4" s="118">
        <f xml:space="preserve"> Time!M$29</f>
        <v>2020</v>
      </c>
      <c r="N4" s="118">
        <f xml:space="preserve"> Time!N$29</f>
        <v>2021</v>
      </c>
      <c r="O4" s="118">
        <f xml:space="preserve"> Time!O$29</f>
        <v>2022</v>
      </c>
      <c r="P4" s="118">
        <f xml:space="preserve"> Time!P$29</f>
        <v>2023</v>
      </c>
      <c r="Q4" s="118">
        <f xml:space="preserve"> Time!Q$29</f>
        <v>2024</v>
      </c>
      <c r="R4" s="118">
        <f xml:space="preserve"> Time!R$29</f>
        <v>2025</v>
      </c>
      <c r="S4" s="114"/>
      <c r="T4" s="114"/>
      <c r="U4" s="115"/>
    </row>
    <row r="5" spans="1:21" s="112" customFormat="1">
      <c r="A5" s="111"/>
      <c r="B5" s="111"/>
      <c r="C5" s="111"/>
      <c r="D5" s="111"/>
      <c r="E5" s="117" t="str">
        <f xml:space="preserve"> Time!E$5</f>
        <v>Model column counter</v>
      </c>
      <c r="F5" s="20" t="s">
        <v>96</v>
      </c>
      <c r="G5" s="2" t="s">
        <v>97</v>
      </c>
      <c r="H5" s="20" t="s">
        <v>98</v>
      </c>
      <c r="I5" s="111"/>
      <c r="J5" s="117">
        <f xml:space="preserve"> Time!J$8</f>
        <v>1</v>
      </c>
      <c r="K5" s="117">
        <f xml:space="preserve"> Time!K$8</f>
        <v>2</v>
      </c>
      <c r="L5" s="117">
        <f xml:space="preserve"> Time!L$8</f>
        <v>3</v>
      </c>
      <c r="M5" s="117">
        <f xml:space="preserve"> Time!M$8</f>
        <v>4</v>
      </c>
      <c r="N5" s="117">
        <f xml:space="preserve"> Time!N$8</f>
        <v>5</v>
      </c>
      <c r="O5" s="117">
        <f xml:space="preserve"> Time!O$8</f>
        <v>6</v>
      </c>
      <c r="P5" s="117">
        <f xml:space="preserve"> Time!P$8</f>
        <v>7</v>
      </c>
      <c r="Q5" s="117">
        <f xml:space="preserve"> Time!Q$8</f>
        <v>8</v>
      </c>
      <c r="R5" s="117">
        <f xml:space="preserve"> Time!R$8</f>
        <v>9</v>
      </c>
    </row>
    <row r="6" spans="1:21" s="112" customFormat="1" ht="12.5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21" s="112" customFormat="1">
      <c r="A7" s="176" t="s">
        <v>99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</row>
    <row r="8" spans="1:21" s="112" customFormat="1" ht="12.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</row>
    <row r="9" spans="1:21" s="112" customFormat="1" ht="12.5">
      <c r="A9" s="111"/>
      <c r="B9" s="111"/>
      <c r="C9" s="111"/>
      <c r="D9" s="111"/>
      <c r="E9" s="111" t="s">
        <v>100</v>
      </c>
      <c r="F9" s="280"/>
      <c r="G9" s="280" t="s">
        <v>80</v>
      </c>
      <c r="H9" s="281">
        <f xml:space="preserve"> SUM( N9:R9 )</f>
        <v>371100</v>
      </c>
      <c r="I9" s="280"/>
      <c r="J9" s="280"/>
      <c r="K9" s="280"/>
      <c r="L9" s="280"/>
      <c r="M9" s="280"/>
      <c r="N9" s="282">
        <v>72700</v>
      </c>
      <c r="O9" s="282">
        <v>73500</v>
      </c>
      <c r="P9" s="282">
        <v>74200</v>
      </c>
      <c r="Q9" s="282">
        <v>75000</v>
      </c>
      <c r="R9" s="282">
        <v>75700</v>
      </c>
      <c r="S9" s="282">
        <v>75700</v>
      </c>
    </row>
    <row r="10" spans="1:21" s="112" customFormat="1" ht="12.5">
      <c r="A10" s="111"/>
      <c r="B10" s="111"/>
      <c r="C10" s="111"/>
      <c r="D10" s="111"/>
      <c r="E10" s="111"/>
      <c r="F10" s="280"/>
      <c r="G10" s="280"/>
      <c r="H10" s="280"/>
      <c r="I10" s="280"/>
      <c r="J10" s="280"/>
      <c r="K10" s="280"/>
      <c r="L10" s="280"/>
      <c r="M10" s="280"/>
      <c r="N10" s="283"/>
      <c r="O10" s="283"/>
      <c r="P10" s="283"/>
      <c r="Q10" s="283"/>
      <c r="R10" s="283"/>
      <c r="S10" s="283"/>
    </row>
    <row r="11" spans="1:21" s="112" customFormat="1">
      <c r="A11" s="111"/>
      <c r="B11" s="111"/>
      <c r="C11" s="111"/>
      <c r="D11" s="111"/>
      <c r="E11" s="111" t="s">
        <v>101</v>
      </c>
      <c r="F11" s="280"/>
      <c r="G11" s="280" t="s">
        <v>102</v>
      </c>
      <c r="H11" s="203">
        <f xml:space="preserve"> SUM( N11:R11 )</f>
        <v>355</v>
      </c>
      <c r="I11" s="280"/>
      <c r="J11" s="280"/>
      <c r="K11" s="280"/>
      <c r="L11" s="280"/>
      <c r="M11" s="280"/>
      <c r="N11" s="341">
        <v>70</v>
      </c>
      <c r="O11" s="341">
        <v>73.5</v>
      </c>
      <c r="P11" s="341">
        <v>69.8</v>
      </c>
      <c r="Q11" s="344">
        <v>71.099999999999994</v>
      </c>
      <c r="R11" s="341">
        <v>70.599999999999994</v>
      </c>
      <c r="S11" s="282">
        <v>70.599999999999994</v>
      </c>
    </row>
    <row r="12" spans="1:21" s="112" customFormat="1" ht="12.5">
      <c r="A12" s="111"/>
      <c r="B12" s="111"/>
      <c r="C12" s="111"/>
      <c r="D12" s="111"/>
      <c r="E12" s="111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</row>
    <row r="13" spans="1:21" s="241" customFormat="1" ht="15" customHeight="1">
      <c r="A13" s="176" t="s">
        <v>103</v>
      </c>
      <c r="B13" s="176"/>
      <c r="C13" s="176"/>
      <c r="D13" s="176"/>
      <c r="E13" s="176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240"/>
      <c r="U13" s="240"/>
    </row>
    <row r="14" spans="1:21" customFormat="1" ht="15" customHeight="1"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</row>
    <row r="15" spans="1:21" s="258" customFormat="1" ht="15" customHeight="1">
      <c r="A15" s="347"/>
      <c r="B15" s="347"/>
      <c r="C15" s="347"/>
      <c r="D15" s="347"/>
      <c r="E15" s="117" t="s">
        <v>104</v>
      </c>
      <c r="F15" s="285">
        <v>46.548000000000002</v>
      </c>
      <c r="G15" s="348" t="s">
        <v>105</v>
      </c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348"/>
      <c r="T15" s="347"/>
      <c r="U15" s="347"/>
    </row>
    <row r="16" spans="1:21" s="126" customFormat="1" ht="15" customHeight="1">
      <c r="A16" s="25"/>
      <c r="B16" s="25"/>
      <c r="C16" s="25"/>
      <c r="D16" s="213"/>
      <c r="E16" s="25"/>
      <c r="F16" s="25"/>
      <c r="G16" s="213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spans="1:21" s="126" customFormat="1" ht="15" customHeight="1">
      <c r="A17" s="25"/>
      <c r="B17" s="25"/>
      <c r="C17" s="25"/>
      <c r="D17" s="25"/>
      <c r="E17" s="25" t="s">
        <v>106</v>
      </c>
      <c r="F17" s="25"/>
      <c r="G17" s="242" t="s">
        <v>107</v>
      </c>
      <c r="H17" s="203">
        <f xml:space="preserve"> SUM( N17:R17 )</f>
        <v>131.43710660345411</v>
      </c>
      <c r="I17" s="25"/>
      <c r="J17" s="25"/>
      <c r="K17" s="25"/>
      <c r="L17" s="25"/>
      <c r="M17" s="25"/>
      <c r="N17" s="341">
        <v>23.343</v>
      </c>
      <c r="O17" s="341">
        <v>19.764999999999997</v>
      </c>
      <c r="P17" s="341">
        <v>24.4</v>
      </c>
      <c r="Q17" s="344">
        <v>32.871000000000002</v>
      </c>
      <c r="R17" s="341">
        <v>31.058106603454121</v>
      </c>
      <c r="S17" s="341">
        <v>31.058106603454121</v>
      </c>
      <c r="T17" s="25"/>
    </row>
    <row r="18" spans="1:21" customFormat="1" ht="15" customHeight="1">
      <c r="E18" s="150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</row>
    <row r="19" spans="1:21" s="126" customFormat="1" ht="15" customHeight="1">
      <c r="A19" s="25"/>
      <c r="B19" s="25"/>
      <c r="C19" s="25"/>
      <c r="D19" s="25"/>
      <c r="E19" s="167" t="s">
        <v>108</v>
      </c>
      <c r="F19" s="25"/>
      <c r="G19" s="242" t="s">
        <v>107</v>
      </c>
      <c r="H19" s="203">
        <f xml:space="preserve"> SUM( N19:R19 )</f>
        <v>113.38557475325786</v>
      </c>
      <c r="I19" s="25"/>
      <c r="J19" s="25"/>
      <c r="K19" s="25"/>
      <c r="L19" s="25"/>
      <c r="M19" s="25"/>
      <c r="N19" s="341">
        <v>20.513658716927772</v>
      </c>
      <c r="O19" s="341">
        <v>20.739393613400154</v>
      </c>
      <c r="P19" s="344">
        <v>23.657561508748501</v>
      </c>
      <c r="Q19" s="344">
        <v>24.135191729499699</v>
      </c>
      <c r="R19" s="344">
        <v>24.339769184681732</v>
      </c>
      <c r="S19" s="342">
        <v>24.339769184681732</v>
      </c>
      <c r="T19" s="25"/>
    </row>
    <row r="20" spans="1:21" s="126" customFormat="1" ht="15" customHeight="1">
      <c r="A20" s="25"/>
      <c r="B20" s="25"/>
      <c r="C20" s="25"/>
      <c r="D20" s="213"/>
      <c r="E20" s="25"/>
      <c r="F20" s="25"/>
      <c r="G20" s="242"/>
      <c r="H20" s="286"/>
      <c r="I20" s="25"/>
      <c r="J20" s="25"/>
      <c r="K20" s="25"/>
      <c r="L20" s="25"/>
      <c r="M20" s="203"/>
      <c r="N20" s="203"/>
      <c r="O20" s="203"/>
      <c r="P20" s="203"/>
      <c r="Q20" s="203"/>
      <c r="R20" s="203"/>
      <c r="S20" s="203"/>
      <c r="T20" s="25"/>
    </row>
    <row r="21" spans="1:21" s="243" customFormat="1" ht="15" customHeight="1">
      <c r="A21" s="25"/>
      <c r="B21" s="25"/>
      <c r="C21" s="25"/>
      <c r="D21" s="25"/>
      <c r="E21" s="25" t="s">
        <v>109</v>
      </c>
      <c r="F21" s="25"/>
      <c r="G21" s="242" t="s">
        <v>107</v>
      </c>
      <c r="H21" s="203">
        <f xml:space="preserve"> SUM( N21:R21 )</f>
        <v>2.611E-3</v>
      </c>
      <c r="I21" s="25"/>
      <c r="J21" s="25"/>
      <c r="K21" s="25"/>
      <c r="L21" s="25"/>
      <c r="M21" s="25"/>
      <c r="N21" s="341">
        <v>2.611E-3</v>
      </c>
      <c r="O21" s="341">
        <v>0</v>
      </c>
      <c r="P21" s="341">
        <v>0</v>
      </c>
      <c r="Q21" s="341">
        <v>0</v>
      </c>
      <c r="R21" s="341">
        <v>0</v>
      </c>
      <c r="S21" s="341">
        <v>0</v>
      </c>
      <c r="T21" s="25"/>
      <c r="U21" s="126"/>
    </row>
    <row r="22" spans="1:21" s="126" customFormat="1" ht="15" customHeight="1">
      <c r="A22" s="25"/>
      <c r="B22" s="25"/>
      <c r="C22" s="25"/>
      <c r="D22" s="213"/>
      <c r="E22" s="25"/>
      <c r="F22" s="25"/>
      <c r="G22" s="242"/>
      <c r="H22" s="286"/>
      <c r="I22" s="25"/>
      <c r="J22" s="25"/>
      <c r="K22" s="25"/>
      <c r="L22" s="25"/>
      <c r="M22" s="25"/>
      <c r="N22"/>
      <c r="O22" s="203"/>
      <c r="P22" s="203"/>
      <c r="Q22" s="203"/>
      <c r="R22" s="203"/>
      <c r="S22" s="203"/>
      <c r="T22" s="25"/>
    </row>
    <row r="23" spans="1:21" s="112" customFormat="1" ht="12.5">
      <c r="A23" s="111"/>
      <c r="B23" s="111"/>
      <c r="C23" s="111"/>
      <c r="D23" s="111"/>
      <c r="E23" s="111" t="s">
        <v>110</v>
      </c>
      <c r="F23" s="287">
        <v>3.1199800000000003E-2</v>
      </c>
      <c r="G23" s="288" t="s">
        <v>111</v>
      </c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</row>
    <row r="24" spans="1:21" customFormat="1" ht="14.5"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</row>
    <row r="25" spans="1:21" customFormat="1" ht="14.5">
      <c r="A25" s="176" t="s">
        <v>112</v>
      </c>
      <c r="B25" s="176"/>
      <c r="C25" s="176"/>
      <c r="D25" s="176"/>
      <c r="E25" s="176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</row>
    <row r="26" spans="1:21" customFormat="1" ht="14.5"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</row>
    <row r="27" spans="1:21" customFormat="1" ht="14.5">
      <c r="E27" s="111" t="s">
        <v>113</v>
      </c>
      <c r="F27" s="287">
        <v>0.1</v>
      </c>
      <c r="G27" s="288" t="s">
        <v>111</v>
      </c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</row>
    <row r="28" spans="1:21" customFormat="1" ht="14.5">
      <c r="E28" s="111"/>
      <c r="F28" s="284"/>
      <c r="G28" s="288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4"/>
    </row>
    <row r="29" spans="1:21" customFormat="1" ht="14.5">
      <c r="E29" s="111" t="s">
        <v>114</v>
      </c>
      <c r="F29" s="287">
        <v>0.06</v>
      </c>
      <c r="G29" s="288" t="s">
        <v>111</v>
      </c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4"/>
      <c r="S29" s="284"/>
    </row>
    <row r="30" spans="1:21" s="112" customFormat="1" ht="12.5">
      <c r="A30" s="111"/>
      <c r="B30" s="111"/>
      <c r="C30" s="111"/>
      <c r="D30" s="111"/>
      <c r="E30" s="111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</row>
    <row r="31" spans="1:21" s="112" customFormat="1">
      <c r="A31" s="176" t="s">
        <v>115</v>
      </c>
      <c r="B31" s="176"/>
      <c r="C31" s="176"/>
      <c r="D31" s="176"/>
      <c r="E31" s="176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</row>
    <row r="32" spans="1:21" s="112" customFormat="1" ht="12.5">
      <c r="A32" s="111"/>
      <c r="B32" s="111"/>
      <c r="C32" s="111"/>
      <c r="D32" s="111"/>
      <c r="E32" s="111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</row>
    <row r="33" spans="1:25" s="111" customFormat="1" ht="12.5">
      <c r="E33" s="111" t="s">
        <v>116</v>
      </c>
      <c r="F33" s="280"/>
      <c r="G33" s="280" t="s">
        <v>117</v>
      </c>
      <c r="H33" s="280"/>
      <c r="I33" s="280"/>
      <c r="J33" s="298">
        <v>101.8</v>
      </c>
      <c r="K33" s="298">
        <v>104.7</v>
      </c>
      <c r="L33" s="298">
        <v>106.9</v>
      </c>
      <c r="M33" s="298">
        <v>108.5</v>
      </c>
      <c r="N33" s="298">
        <v>109.1</v>
      </c>
      <c r="O33" s="298">
        <v>114.1</v>
      </c>
      <c r="P33" s="298">
        <v>124.8</v>
      </c>
      <c r="Q33" s="346">
        <v>130</v>
      </c>
      <c r="R33" s="298"/>
      <c r="S33" s="298">
        <v>135.4</v>
      </c>
    </row>
    <row r="34" spans="1:25" s="111" customFormat="1" ht="14.5">
      <c r="F34" s="280"/>
      <c r="G34" s="280"/>
      <c r="H34" s="280"/>
      <c r="I34" s="280"/>
      <c r="J34" s="284"/>
      <c r="K34" s="284"/>
      <c r="L34" s="284"/>
      <c r="M34" s="284"/>
      <c r="N34" s="284"/>
      <c r="O34" s="284"/>
      <c r="P34" s="284"/>
      <c r="Q34" s="284"/>
      <c r="R34" s="284"/>
      <c r="S34" s="284"/>
    </row>
    <row r="35" spans="1:25" s="111" customFormat="1" ht="14.5">
      <c r="E35" s="111" t="s">
        <v>118</v>
      </c>
      <c r="F35" s="203">
        <f xml:space="preserve"> $J$33</f>
        <v>101.8</v>
      </c>
      <c r="G35" s="280" t="s">
        <v>117</v>
      </c>
      <c r="H35" s="280"/>
      <c r="I35" s="280"/>
      <c r="J35" s="284"/>
      <c r="K35" s="284"/>
      <c r="L35" s="284"/>
      <c r="M35" s="284"/>
      <c r="N35" s="284"/>
      <c r="O35" s="284"/>
      <c r="P35" s="284"/>
      <c r="Q35" s="284"/>
      <c r="R35" s="284"/>
      <c r="S35" s="284"/>
    </row>
    <row r="36" spans="1:25" customFormat="1" ht="14.5"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</row>
    <row r="37" spans="1:25" s="111" customFormat="1" ht="14.5">
      <c r="E37" s="111" t="s">
        <v>119</v>
      </c>
      <c r="F37" s="345">
        <v>0.02</v>
      </c>
      <c r="G37" s="280"/>
      <c r="H37" s="280"/>
      <c r="I37" s="280"/>
      <c r="J37" s="284"/>
      <c r="K37" s="284"/>
      <c r="L37" s="284"/>
      <c r="M37" s="284"/>
      <c r="N37" s="284"/>
      <c r="O37" s="284"/>
      <c r="P37" s="284"/>
      <c r="Q37" s="284"/>
      <c r="R37" s="284"/>
      <c r="S37" s="284"/>
    </row>
    <row r="38" spans="1:25" customFormat="1" ht="14.5">
      <c r="A38" s="83"/>
      <c r="B38" s="83"/>
      <c r="C38" s="84"/>
      <c r="D38" s="27"/>
      <c r="E38" s="27"/>
      <c r="F38" s="26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1:25" s="307" customFormat="1" ht="14">
      <c r="A39" s="109" t="s">
        <v>82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349"/>
      <c r="T39" s="349"/>
      <c r="U39" s="349"/>
      <c r="V39" s="349"/>
      <c r="W39" s="349"/>
      <c r="X39" s="349"/>
      <c r="Y39" s="349"/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</sheetData>
  <conditionalFormatting sqref="E38">
    <cfRule type="duplicateValues" dxfId="19" priority="33"/>
  </conditionalFormatting>
  <conditionalFormatting sqref="J3:R3">
    <cfRule type="cellIs" dxfId="18" priority="4" operator="equal">
      <formula>"Post-Fcst"</formula>
    </cfRule>
    <cfRule type="cellIs" dxfId="17" priority="5" operator="equal">
      <formula>"Forecast"</formula>
    </cfRule>
    <cfRule type="cellIs" dxfId="16" priority="6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FFFF99"/>
    <pageSetUpPr fitToPage="1"/>
  </sheetPr>
  <dimension ref="A1:R34"/>
  <sheetViews>
    <sheetView showGridLines="0" zoomScale="80" zoomScaleNormal="8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4" zeroHeight="1"/>
  <cols>
    <col min="1" max="4" width="1.08984375" style="274" customWidth="1"/>
    <col min="5" max="5" width="56" style="274" customWidth="1"/>
    <col min="6" max="6" width="12.26953125" style="274" bestFit="1" customWidth="1"/>
    <col min="7" max="8" width="11.08984375" style="274" customWidth="1"/>
    <col min="9" max="9" width="1.36328125" style="274" customWidth="1"/>
    <col min="10" max="18" width="11.81640625" style="274" customWidth="1"/>
    <col min="19" max="16384" width="8.81640625" style="274" hidden="1"/>
  </cols>
  <sheetData>
    <row r="1" spans="1:18" ht="25">
      <c r="A1" s="70" t="str">
        <f ca="1" xml:space="preserve"> RIGHT(CELL("filename", A1), LEN(CELL("filename", A1)) - SEARCH("]", CELL("filename", A1)))</f>
        <v>InputsC</v>
      </c>
      <c r="B1" s="71"/>
      <c r="C1" s="72"/>
      <c r="D1" s="71"/>
      <c r="E1" s="73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14.5">
      <c r="A2" s="111"/>
      <c r="B2" s="111"/>
      <c r="C2" s="111"/>
      <c r="D2" s="111"/>
      <c r="E2" s="117" t="str">
        <f xml:space="preserve"> Time!E$2</f>
        <v>Model Period Ending</v>
      </c>
      <c r="F2"/>
      <c r="G2"/>
      <c r="H2"/>
      <c r="I2" s="117">
        <f xml:space="preserve"> Time!I$2</f>
        <v>0</v>
      </c>
      <c r="J2" s="153">
        <f xml:space="preserve"> Time!J$21</f>
        <v>42825</v>
      </c>
      <c r="K2" s="153">
        <f xml:space="preserve"> Time!K$21</f>
        <v>43190</v>
      </c>
      <c r="L2" s="153">
        <f xml:space="preserve"> Time!L$21</f>
        <v>43555</v>
      </c>
      <c r="M2" s="153">
        <f xml:space="preserve"> Time!M$21</f>
        <v>43921</v>
      </c>
      <c r="N2" s="153">
        <f xml:space="preserve"> Time!N$21</f>
        <v>44286</v>
      </c>
      <c r="O2" s="153">
        <f xml:space="preserve"> Time!O$21</f>
        <v>44651</v>
      </c>
      <c r="P2" s="153">
        <f xml:space="preserve"> Time!P$21</f>
        <v>45016</v>
      </c>
      <c r="Q2" s="153">
        <f xml:space="preserve"> Time!Q$21</f>
        <v>45382</v>
      </c>
      <c r="R2" s="153">
        <f xml:space="preserve"> Time!R$21</f>
        <v>45747</v>
      </c>
    </row>
    <row r="3" spans="1:18" ht="14.5">
      <c r="A3" s="111"/>
      <c r="B3" s="111"/>
      <c r="C3" s="111"/>
      <c r="D3" s="111"/>
      <c r="E3" s="117" t="str">
        <f xml:space="preserve"> Time!E$3</f>
        <v>Pre Forecast vs Forecast</v>
      </c>
      <c r="F3"/>
      <c r="G3"/>
      <c r="H3"/>
      <c r="I3" s="117">
        <f xml:space="preserve"> Time!I$3</f>
        <v>0</v>
      </c>
      <c r="J3" s="117" t="str">
        <f xml:space="preserve"> Time!J$55</f>
        <v>Pre Fcst</v>
      </c>
      <c r="K3" s="117" t="str">
        <f xml:space="preserve"> Time!K$55</f>
        <v>Pre Fcst</v>
      </c>
      <c r="L3" s="117" t="str">
        <f xml:space="preserve"> Time!L$55</f>
        <v>Pre Fcst</v>
      </c>
      <c r="M3" s="117" t="str">
        <f xml:space="preserve"> Time!M$55</f>
        <v>Pre Fcst</v>
      </c>
      <c r="N3" s="117" t="str">
        <f xml:space="preserve"> Time!N$55</f>
        <v>Forecast</v>
      </c>
      <c r="O3" s="117" t="str">
        <f xml:space="preserve"> Time!O$55</f>
        <v>Forecast</v>
      </c>
      <c r="P3" s="117" t="str">
        <f xml:space="preserve"> Time!P$55</f>
        <v>Forecast</v>
      </c>
      <c r="Q3" s="117" t="str">
        <f xml:space="preserve"> Time!Q$55</f>
        <v>Forecast</v>
      </c>
      <c r="R3" s="117" t="str">
        <f xml:space="preserve"> Time!R$55</f>
        <v>Forecast</v>
      </c>
    </row>
    <row r="4" spans="1:18" ht="14.5">
      <c r="A4" s="113"/>
      <c r="B4" s="113"/>
      <c r="C4" s="113"/>
      <c r="D4" s="113"/>
      <c r="E4" s="117" t="str">
        <f xml:space="preserve"> Time!E$4</f>
        <v>Financial Year Ending</v>
      </c>
      <c r="F4"/>
      <c r="G4"/>
      <c r="H4"/>
      <c r="I4" s="117">
        <f xml:space="preserve"> Time!I$4</f>
        <v>0</v>
      </c>
      <c r="J4" s="117">
        <f xml:space="preserve"> Time!J$29</f>
        <v>2017</v>
      </c>
      <c r="K4" s="117">
        <f xml:space="preserve"> Time!K$29</f>
        <v>2018</v>
      </c>
      <c r="L4" s="117">
        <f xml:space="preserve"> Time!L$29</f>
        <v>2019</v>
      </c>
      <c r="M4" s="117">
        <f xml:space="preserve"> Time!M$29</f>
        <v>2020</v>
      </c>
      <c r="N4" s="117">
        <f xml:space="preserve"> Time!N$29</f>
        <v>2021</v>
      </c>
      <c r="O4" s="117">
        <f xml:space="preserve"> Time!O$29</f>
        <v>2022</v>
      </c>
      <c r="P4" s="117">
        <f xml:space="preserve"> Time!P$29</f>
        <v>2023</v>
      </c>
      <c r="Q4" s="117">
        <f xml:space="preserve"> Time!Q$29</f>
        <v>2024</v>
      </c>
      <c r="R4" s="117">
        <f xml:space="preserve"> Time!R$29</f>
        <v>2025</v>
      </c>
    </row>
    <row r="5" spans="1:18">
      <c r="A5" s="111"/>
      <c r="B5" s="111"/>
      <c r="C5" s="111"/>
      <c r="D5" s="111"/>
      <c r="E5" s="117" t="str">
        <f xml:space="preserve"> Time!E$5</f>
        <v>Model column counter</v>
      </c>
      <c r="F5" s="20" t="s">
        <v>96</v>
      </c>
      <c r="G5" s="2" t="s">
        <v>97</v>
      </c>
      <c r="H5" s="20" t="s">
        <v>98</v>
      </c>
      <c r="I5" s="111"/>
      <c r="J5" s="111">
        <f xml:space="preserve"> Time!J$8</f>
        <v>1</v>
      </c>
      <c r="K5" s="111">
        <f xml:space="preserve"> Time!K$8</f>
        <v>2</v>
      </c>
      <c r="L5" s="111">
        <f xml:space="preserve"> Time!L$8</f>
        <v>3</v>
      </c>
      <c r="M5" s="111">
        <f xml:space="preserve"> Time!M$8</f>
        <v>4</v>
      </c>
      <c r="N5" s="111">
        <f xml:space="preserve"> Time!N$8</f>
        <v>5</v>
      </c>
      <c r="O5" s="111">
        <f xml:space="preserve"> Time!O$8</f>
        <v>6</v>
      </c>
      <c r="P5" s="111">
        <f xml:space="preserve"> Time!P$8</f>
        <v>7</v>
      </c>
      <c r="Q5" s="111">
        <f xml:space="preserve"> Time!Q$8</f>
        <v>8</v>
      </c>
      <c r="R5" s="111">
        <f xml:space="preserve"> Time!R$8</f>
        <v>9</v>
      </c>
    </row>
    <row r="6" spans="1:18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</row>
    <row r="7" spans="1:18" s="117" customFormat="1" ht="13">
      <c r="A7" s="176" t="s">
        <v>120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</row>
    <row r="8" spans="1:18" s="117" customFormat="1" ht="13">
      <c r="E8" s="14"/>
      <c r="F8" s="111"/>
      <c r="G8" s="111"/>
    </row>
    <row r="9" spans="1:18" s="117" customFormat="1" ht="12.5">
      <c r="E9" s="6" t="s">
        <v>121</v>
      </c>
      <c r="F9" s="294">
        <v>42461</v>
      </c>
      <c r="G9" s="111" t="s">
        <v>122</v>
      </c>
    </row>
    <row r="10" spans="1:18" s="117" customFormat="1" ht="12.5">
      <c r="E10" s="6"/>
      <c r="F10" s="6"/>
      <c r="G10" s="6"/>
    </row>
    <row r="11" spans="1:18" s="117" customFormat="1" ht="12.5">
      <c r="E11" s="6" t="s">
        <v>123</v>
      </c>
      <c r="F11" s="295">
        <v>2017</v>
      </c>
      <c r="G11" s="111" t="s">
        <v>124</v>
      </c>
    </row>
    <row r="12" spans="1:18" s="117" customFormat="1" ht="12.5">
      <c r="E12" s="6"/>
      <c r="F12" s="6"/>
      <c r="G12" s="111"/>
    </row>
    <row r="13" spans="1:18" s="117" customFormat="1" ht="12.5">
      <c r="E13" s="6" t="s">
        <v>125</v>
      </c>
      <c r="F13" s="295">
        <v>3</v>
      </c>
      <c r="G13" s="111" t="s">
        <v>126</v>
      </c>
    </row>
    <row r="14" spans="1:18" s="117" customFormat="1" ht="12.5">
      <c r="E14" s="6"/>
      <c r="F14" s="6"/>
      <c r="G14" s="111"/>
    </row>
    <row r="15" spans="1:18" s="117" customFormat="1" ht="12.5">
      <c r="E15" s="6" t="s">
        <v>127</v>
      </c>
      <c r="F15" s="294">
        <v>43921</v>
      </c>
      <c r="G15" s="111" t="s">
        <v>122</v>
      </c>
    </row>
    <row r="16" spans="1:18" s="117" customFormat="1" ht="12.5">
      <c r="E16" s="6"/>
      <c r="F16" s="6"/>
      <c r="G16" s="111"/>
    </row>
    <row r="17" spans="1:18" s="117" customFormat="1" ht="12.5">
      <c r="E17" s="6" t="s">
        <v>128</v>
      </c>
      <c r="F17" s="294">
        <v>45747</v>
      </c>
      <c r="G17" s="111" t="s">
        <v>122</v>
      </c>
    </row>
    <row r="18" spans="1:18" s="117" customFormat="1" ht="12.5">
      <c r="E18" s="111"/>
      <c r="F18" s="111"/>
      <c r="G18" s="111"/>
    </row>
    <row r="19" spans="1:18" s="117" customFormat="1" ht="13">
      <c r="A19" s="176" t="s">
        <v>129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</row>
    <row r="20" spans="1:18" s="117" customFormat="1" ht="13">
      <c r="E20" s="14"/>
    </row>
    <row r="21" spans="1:18" s="117" customFormat="1" ht="12.5">
      <c r="E21" s="5" t="s">
        <v>130</v>
      </c>
      <c r="F21" s="296">
        <v>1000000</v>
      </c>
      <c r="G21" s="111" t="s">
        <v>131</v>
      </c>
    </row>
    <row r="22" spans="1:18" s="117" customFormat="1" ht="12.5"/>
    <row r="23" spans="1:18" s="117" customFormat="1" ht="12.5">
      <c r="E23" s="5" t="s">
        <v>132</v>
      </c>
      <c r="F23" s="296">
        <v>1000</v>
      </c>
      <c r="G23" s="111" t="s">
        <v>131</v>
      </c>
    </row>
    <row r="24" spans="1:18" s="117" customFormat="1" ht="12.5"/>
    <row r="25" spans="1:18" s="117" customFormat="1" ht="12.5">
      <c r="E25" s="5" t="s">
        <v>133</v>
      </c>
      <c r="F25" s="297">
        <v>9.9999999999999995E-8</v>
      </c>
      <c r="G25" s="130" t="s">
        <v>134</v>
      </c>
    </row>
    <row r="26" spans="1:18" s="117" customFormat="1" ht="12.5"/>
    <row r="27" spans="1:18" s="279" customFormat="1" ht="13">
      <c r="A27" s="120" t="s">
        <v>82</v>
      </c>
    </row>
    <row r="28" spans="1:18">
      <c r="A28" s="347"/>
      <c r="B28" s="347"/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</row>
    <row r="29" spans="1:18" ht="14.65" hidden="1" customHeight="1">
      <c r="A29" s="347"/>
      <c r="B29" s="347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</row>
    <row r="30" spans="1:18" ht="14.65" hidden="1" customHeight="1">
      <c r="A30" s="347"/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</row>
    <row r="31" spans="1:18" ht="14.65" hidden="1" customHeight="1">
      <c r="A31" s="347"/>
      <c r="B31" s="347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</row>
    <row r="32" spans="1:18" ht="14.65" hidden="1" customHeight="1">
      <c r="A32" s="347"/>
      <c r="B32" s="347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</row>
    <row r="33" ht="14.65" hidden="1" customHeight="1"/>
    <row r="34" ht="14.65" hidden="1" customHeight="1"/>
  </sheetData>
  <conditionalFormatting sqref="J3:R3">
    <cfRule type="cellIs" dxfId="15" priority="9" operator="equal">
      <formula>"Post-Fcst"</formula>
    </cfRule>
    <cfRule type="cellIs" dxfId="14" priority="10" operator="equal">
      <formula>"Forecast"</formula>
    </cfRule>
    <cfRule type="cellIs" dxfId="13" priority="11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A1:CC88"/>
  <sheetViews>
    <sheetView showGridLines="0" zoomScale="80" zoomScaleNormal="8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4.5" zeroHeight="1"/>
  <cols>
    <col min="1" max="4" width="1.08984375" customWidth="1"/>
    <col min="5" max="5" width="56" customWidth="1"/>
    <col min="6" max="6" width="12.36328125" customWidth="1"/>
    <col min="7" max="8" width="11.08984375" customWidth="1"/>
    <col min="9" max="9" width="1.36328125" customWidth="1"/>
    <col min="10" max="18" width="11.81640625" customWidth="1"/>
    <col min="19" max="81" width="0" hidden="1" customWidth="1"/>
    <col min="82" max="16384" width="8.81640625" hidden="1"/>
  </cols>
  <sheetData>
    <row r="1" spans="1:23" s="71" customFormat="1" ht="25">
      <c r="A1" s="70" t="str">
        <f ca="1" xml:space="preserve"> RIGHT(CELL("filename", A1), LEN(CELL("filename", A1)) - SEARCH("]", CELL("filename", A1)))</f>
        <v>Time</v>
      </c>
      <c r="C1" s="72"/>
      <c r="E1" s="73"/>
    </row>
    <row r="2" spans="1:23" s="117" customFormat="1">
      <c r="E2" s="117" t="str">
        <f xml:space="preserve"> E$21</f>
        <v>Model Period Ending</v>
      </c>
      <c r="F2"/>
      <c r="G2"/>
      <c r="H2"/>
      <c r="I2" s="117">
        <f t="shared" ref="I2:R2" si="0" xml:space="preserve"> I$21</f>
        <v>0</v>
      </c>
      <c r="J2" s="153">
        <f t="shared" si="0"/>
        <v>42825</v>
      </c>
      <c r="K2" s="153">
        <f t="shared" si="0"/>
        <v>43190</v>
      </c>
      <c r="L2" s="153">
        <f t="shared" si="0"/>
        <v>43555</v>
      </c>
      <c r="M2" s="153">
        <f t="shared" si="0"/>
        <v>43921</v>
      </c>
      <c r="N2" s="153">
        <f t="shared" si="0"/>
        <v>44286</v>
      </c>
      <c r="O2" s="153">
        <f t="shared" si="0"/>
        <v>44651</v>
      </c>
      <c r="P2" s="153">
        <f t="shared" si="0"/>
        <v>45016</v>
      </c>
      <c r="Q2" s="153">
        <f t="shared" si="0"/>
        <v>45382</v>
      </c>
      <c r="R2" s="153">
        <f t="shared" si="0"/>
        <v>45747</v>
      </c>
    </row>
    <row r="3" spans="1:23" s="117" customFormat="1">
      <c r="E3" s="117" t="str">
        <f xml:space="preserve"> E55</f>
        <v>Pre Forecast vs Forecast</v>
      </c>
      <c r="F3"/>
      <c r="G3"/>
      <c r="H3"/>
      <c r="I3" s="117">
        <f t="shared" ref="I3:R3" si="1" xml:space="preserve"> I55</f>
        <v>0</v>
      </c>
      <c r="J3" s="117" t="str">
        <f t="shared" ref="J3:K3" si="2" xml:space="preserve"> J55</f>
        <v>Pre Fcst</v>
      </c>
      <c r="K3" s="117" t="str">
        <f t="shared" si="2"/>
        <v>Pre Fcst</v>
      </c>
      <c r="L3" s="117" t="str">
        <f t="shared" si="1"/>
        <v>Pre Fcst</v>
      </c>
      <c r="M3" s="117" t="str">
        <f t="shared" si="1"/>
        <v>Pre Fcst</v>
      </c>
      <c r="N3" s="117" t="str">
        <f t="shared" si="1"/>
        <v>Forecast</v>
      </c>
      <c r="O3" s="117" t="str">
        <f t="shared" si="1"/>
        <v>Forecast</v>
      </c>
      <c r="P3" s="117" t="str">
        <f t="shared" si="1"/>
        <v>Forecast</v>
      </c>
      <c r="Q3" s="117" t="str">
        <f t="shared" si="1"/>
        <v>Forecast</v>
      </c>
      <c r="R3" s="117" t="str">
        <f t="shared" si="1"/>
        <v>Forecast</v>
      </c>
    </row>
    <row r="4" spans="1:23" s="117" customFormat="1">
      <c r="E4" s="117" t="str">
        <f xml:space="preserve"> E$29</f>
        <v>Financial Year Ending</v>
      </c>
      <c r="F4"/>
      <c r="G4"/>
      <c r="H4"/>
      <c r="I4" s="117">
        <f t="shared" ref="I4:R4" si="3" xml:space="preserve"> I$29</f>
        <v>0</v>
      </c>
      <c r="J4" s="118">
        <f t="shared" si="3"/>
        <v>2017</v>
      </c>
      <c r="K4" s="118">
        <f t="shared" si="3"/>
        <v>2018</v>
      </c>
      <c r="L4" s="118">
        <f t="shared" si="3"/>
        <v>2019</v>
      </c>
      <c r="M4" s="118">
        <f t="shared" si="3"/>
        <v>2020</v>
      </c>
      <c r="N4" s="118">
        <f t="shared" si="3"/>
        <v>2021</v>
      </c>
      <c r="O4" s="118">
        <f t="shared" si="3"/>
        <v>2022</v>
      </c>
      <c r="P4" s="118">
        <f t="shared" si="3"/>
        <v>2023</v>
      </c>
      <c r="Q4" s="118">
        <f t="shared" si="3"/>
        <v>2024</v>
      </c>
      <c r="R4" s="118">
        <f t="shared" si="3"/>
        <v>2025</v>
      </c>
    </row>
    <row r="5" spans="1:23" s="117" customFormat="1" ht="12.5">
      <c r="E5" s="117" t="str">
        <f xml:space="preserve"> E$8</f>
        <v>Model column counter</v>
      </c>
      <c r="F5" s="117">
        <f t="shared" ref="F5:I5" si="4" xml:space="preserve"> F$8</f>
        <v>0</v>
      </c>
      <c r="G5" s="117" t="str">
        <f t="shared" si="4"/>
        <v>counter</v>
      </c>
      <c r="H5" s="117">
        <f t="shared" si="4"/>
        <v>0</v>
      </c>
      <c r="I5" s="117">
        <f t="shared" si="4"/>
        <v>0</v>
      </c>
      <c r="J5" s="117">
        <f xml:space="preserve"> J$8</f>
        <v>1</v>
      </c>
      <c r="K5" s="117">
        <f t="shared" ref="K5:R5" si="5" xml:space="preserve"> K$8</f>
        <v>2</v>
      </c>
      <c r="L5" s="117">
        <f t="shared" si="5"/>
        <v>3</v>
      </c>
      <c r="M5" s="117">
        <f t="shared" si="5"/>
        <v>4</v>
      </c>
      <c r="N5" s="117">
        <f t="shared" si="5"/>
        <v>5</v>
      </c>
      <c r="O5" s="117">
        <f t="shared" si="5"/>
        <v>6</v>
      </c>
      <c r="P5" s="117">
        <f t="shared" si="5"/>
        <v>7</v>
      </c>
      <c r="Q5" s="117">
        <f t="shared" si="5"/>
        <v>8</v>
      </c>
      <c r="R5" s="117">
        <f t="shared" si="5"/>
        <v>9</v>
      </c>
    </row>
    <row r="6" spans="1:23" s="119" customFormat="1" ht="12.5"/>
    <row r="7" spans="1:23" s="119" customFormat="1" ht="13">
      <c r="A7" s="23"/>
      <c r="B7" s="23" t="s">
        <v>135</v>
      </c>
      <c r="C7" s="24"/>
      <c r="D7" s="25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s="119" customFormat="1" ht="13">
      <c r="A8" s="23"/>
      <c r="B8" s="23"/>
      <c r="C8" s="24"/>
      <c r="D8" s="25"/>
      <c r="E8" s="28" t="s">
        <v>136</v>
      </c>
      <c r="F8" s="28"/>
      <c r="G8" s="28" t="s">
        <v>137</v>
      </c>
      <c r="H8" s="28"/>
      <c r="I8" s="29"/>
      <c r="J8" s="28">
        <f xml:space="preserve"> I8 + 1</f>
        <v>1</v>
      </c>
      <c r="K8" s="28">
        <f t="shared" ref="K8:R8" si="6" xml:space="preserve"> J8 + 1</f>
        <v>2</v>
      </c>
      <c r="L8" s="28">
        <f t="shared" si="6"/>
        <v>3</v>
      </c>
      <c r="M8" s="28">
        <f t="shared" si="6"/>
        <v>4</v>
      </c>
      <c r="N8" s="28">
        <f t="shared" si="6"/>
        <v>5</v>
      </c>
      <c r="O8" s="28">
        <f t="shared" si="6"/>
        <v>6</v>
      </c>
      <c r="P8" s="28">
        <f t="shared" si="6"/>
        <v>7</v>
      </c>
      <c r="Q8" s="28">
        <f t="shared" si="6"/>
        <v>8</v>
      </c>
      <c r="R8" s="28">
        <f t="shared" si="6"/>
        <v>9</v>
      </c>
      <c r="S8" s="28"/>
      <c r="T8" s="28"/>
      <c r="U8" s="28"/>
      <c r="V8" s="28"/>
      <c r="W8" s="28"/>
    </row>
    <row r="9" spans="1:23" s="119" customFormat="1" ht="13">
      <c r="A9" s="23"/>
      <c r="B9" s="23"/>
      <c r="C9" s="24"/>
      <c r="D9" s="25"/>
      <c r="E9" s="25" t="s">
        <v>138</v>
      </c>
      <c r="F9" s="30">
        <f xml:space="preserve"> MAX(L8:R8)</f>
        <v>9</v>
      </c>
      <c r="G9" s="25" t="s">
        <v>139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s="119" customFormat="1" ht="13">
      <c r="A10" s="23"/>
      <c r="B10" s="23"/>
      <c r="C10" s="24"/>
      <c r="D10" s="25"/>
      <c r="E10" s="25"/>
      <c r="F10" s="30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s="30" customFormat="1" ht="13">
      <c r="A11" s="31"/>
      <c r="B11" s="32"/>
      <c r="C11" s="33"/>
      <c r="D11" s="34"/>
      <c r="E11" s="6" t="str">
        <f xml:space="preserve"> E$8</f>
        <v>Model column counter</v>
      </c>
      <c r="F11" s="6">
        <f t="shared" ref="F11:I11" si="7" xml:space="preserve"> F$8</f>
        <v>0</v>
      </c>
      <c r="G11" s="6" t="str">
        <f t="shared" si="7"/>
        <v>counter</v>
      </c>
      <c r="H11" s="6">
        <f t="shared" si="7"/>
        <v>0</v>
      </c>
      <c r="I11" s="6">
        <f t="shared" si="7"/>
        <v>0</v>
      </c>
      <c r="J11" s="6">
        <f xml:space="preserve"> J$8</f>
        <v>1</v>
      </c>
      <c r="K11" s="6">
        <f t="shared" ref="K11:R11" si="8" xml:space="preserve"> K$8</f>
        <v>2</v>
      </c>
      <c r="L11" s="6">
        <f t="shared" si="8"/>
        <v>3</v>
      </c>
      <c r="M11" s="6">
        <f t="shared" si="8"/>
        <v>4</v>
      </c>
      <c r="N11" s="6">
        <f t="shared" si="8"/>
        <v>5</v>
      </c>
      <c r="O11" s="6">
        <f t="shared" si="8"/>
        <v>6</v>
      </c>
      <c r="P11" s="6">
        <f t="shared" si="8"/>
        <v>7</v>
      </c>
      <c r="Q11" s="6">
        <f t="shared" si="8"/>
        <v>8</v>
      </c>
      <c r="R11" s="6">
        <f t="shared" si="8"/>
        <v>9</v>
      </c>
    </row>
    <row r="12" spans="1:23" s="26" customFormat="1" ht="13">
      <c r="A12" s="35"/>
      <c r="B12" s="36"/>
      <c r="C12" s="37"/>
      <c r="D12" s="38"/>
      <c r="E12" s="21" t="s">
        <v>140</v>
      </c>
      <c r="G12" s="26" t="s">
        <v>141</v>
      </c>
      <c r="H12" s="26">
        <f xml:space="preserve"> SUM(L12:CC12)</f>
        <v>0</v>
      </c>
      <c r="J12" s="26">
        <f xml:space="preserve"> IF( J11 = 1, 1, 0)</f>
        <v>1</v>
      </c>
      <c r="K12" s="26">
        <f xml:space="preserve"> IF( K11 = 1, 1, 0)</f>
        <v>0</v>
      </c>
      <c r="L12" s="26">
        <f xml:space="preserve"> IF( L11 = 1, 1, 0)</f>
        <v>0</v>
      </c>
      <c r="M12" s="26">
        <f t="shared" ref="M12:R12" si="9" xml:space="preserve"> IF( M11 = 1, 1, 0)</f>
        <v>0</v>
      </c>
      <c r="N12" s="26">
        <f t="shared" si="9"/>
        <v>0</v>
      </c>
      <c r="O12" s="26">
        <f t="shared" si="9"/>
        <v>0</v>
      </c>
      <c r="P12" s="26">
        <f t="shared" si="9"/>
        <v>0</v>
      </c>
      <c r="Q12" s="26">
        <f t="shared" si="9"/>
        <v>0</v>
      </c>
      <c r="R12" s="26">
        <f t="shared" si="9"/>
        <v>0</v>
      </c>
    </row>
    <row r="13" spans="1:23" s="119" customFormat="1" ht="13">
      <c r="A13" s="23"/>
      <c r="B13" s="23"/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s="119" customFormat="1" ht="13">
      <c r="A14" s="23"/>
      <c r="B14" s="23" t="s">
        <v>142</v>
      </c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s="119" customFormat="1" ht="13">
      <c r="A15" s="23"/>
      <c r="B15" s="23"/>
      <c r="C15" s="24"/>
      <c r="D15" s="25"/>
      <c r="E15" s="74" t="str">
        <f>InputsC!E9</f>
        <v>First date of time ruler</v>
      </c>
      <c r="F15" s="40">
        <f>InputsC!F9</f>
        <v>42461</v>
      </c>
      <c r="G15" s="40" t="str">
        <f>InputsC!G9</f>
        <v>date</v>
      </c>
      <c r="H15" s="39"/>
      <c r="I15" s="40"/>
      <c r="J15" s="40"/>
      <c r="K15" s="39"/>
      <c r="L15" s="39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</row>
    <row r="16" spans="1:23" s="119" customFormat="1" ht="13">
      <c r="A16" s="23"/>
      <c r="B16" s="23"/>
      <c r="C16" s="24"/>
      <c r="D16" s="25"/>
      <c r="E16" s="21" t="s">
        <v>143</v>
      </c>
      <c r="F16" s="42">
        <f xml:space="preserve"> DATE(YEAR(F15), MONTH(F15), 1)</f>
        <v>42461</v>
      </c>
      <c r="G16" s="42" t="s">
        <v>144</v>
      </c>
      <c r="H16" s="42"/>
      <c r="I16" s="43"/>
      <c r="J16" s="43"/>
      <c r="K16" s="43"/>
      <c r="L16" s="43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spans="1:23" s="119" customFormat="1" ht="13">
      <c r="A17" s="23"/>
      <c r="B17" s="23"/>
      <c r="C17" s="24"/>
      <c r="D17" s="25"/>
      <c r="E17" s="45"/>
      <c r="F17" s="39"/>
      <c r="G17" s="39"/>
      <c r="H17" s="39"/>
      <c r="I17" s="40"/>
      <c r="J17" s="40"/>
      <c r="K17" s="39"/>
      <c r="L17" s="39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1:23" s="119" customFormat="1" ht="13">
      <c r="A18" s="23"/>
      <c r="B18" s="23"/>
      <c r="C18" s="24"/>
      <c r="D18" s="25"/>
      <c r="E18" s="42" t="str">
        <f xml:space="preserve"> E$16</f>
        <v>First model period BEG</v>
      </c>
      <c r="F18" s="42">
        <f xml:space="preserve"> F$16</f>
        <v>42461</v>
      </c>
      <c r="G18" s="42" t="str">
        <f xml:space="preserve"> G$16</f>
        <v>month</v>
      </c>
      <c r="H18" s="42"/>
      <c r="I18" s="43"/>
      <c r="J18" s="43"/>
      <c r="K18" s="42"/>
      <c r="L18" s="42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119" customFormat="1" ht="13">
      <c r="A19" s="23"/>
      <c r="B19" s="23"/>
      <c r="C19" s="24"/>
      <c r="D19" s="25"/>
      <c r="E19" s="21" t="str">
        <f xml:space="preserve"> E$12</f>
        <v>First model column flag</v>
      </c>
      <c r="F19" s="21">
        <f t="shared" ref="F19:I19" si="10" xml:space="preserve"> F$12</f>
        <v>0</v>
      </c>
      <c r="G19" s="21" t="str">
        <f t="shared" si="10"/>
        <v>flag</v>
      </c>
      <c r="H19" s="21">
        <f xml:space="preserve"> H$12</f>
        <v>0</v>
      </c>
      <c r="I19" s="21">
        <f t="shared" si="10"/>
        <v>0</v>
      </c>
      <c r="J19" s="21">
        <f xml:space="preserve"> J$12</f>
        <v>1</v>
      </c>
      <c r="K19" s="21">
        <f t="shared" ref="K19:R19" si="11" xml:space="preserve"> K$12</f>
        <v>0</v>
      </c>
      <c r="L19" s="21">
        <f t="shared" si="11"/>
        <v>0</v>
      </c>
      <c r="M19" s="21">
        <f t="shared" si="11"/>
        <v>0</v>
      </c>
      <c r="N19" s="21">
        <f t="shared" si="11"/>
        <v>0</v>
      </c>
      <c r="O19" s="21">
        <f t="shared" si="11"/>
        <v>0</v>
      </c>
      <c r="P19" s="21">
        <f t="shared" si="11"/>
        <v>0</v>
      </c>
      <c r="Q19" s="21">
        <f t="shared" si="11"/>
        <v>0</v>
      </c>
      <c r="R19" s="21">
        <f t="shared" si="11"/>
        <v>0</v>
      </c>
      <c r="S19" s="8"/>
      <c r="T19" s="8"/>
      <c r="U19" s="8"/>
      <c r="V19" s="8"/>
      <c r="W19" s="8"/>
    </row>
    <row r="20" spans="1:23" s="119" customFormat="1" ht="13">
      <c r="A20" s="23"/>
      <c r="B20" s="23"/>
      <c r="C20" s="24"/>
      <c r="D20" s="25"/>
      <c r="E20" s="21" t="s">
        <v>145</v>
      </c>
      <c r="F20" s="46"/>
      <c r="G20" s="46" t="s">
        <v>122</v>
      </c>
      <c r="H20" s="46"/>
      <c r="I20" s="46"/>
      <c r="J20" s="46">
        <f xml:space="preserve"> IF( J19 = 1, $F18, I21 + 1)</f>
        <v>42461</v>
      </c>
      <c r="K20" s="46">
        <f t="shared" ref="K20:R20" si="12" xml:space="preserve"> IF( K19 = 1, $F18, J21 + 1)</f>
        <v>42826</v>
      </c>
      <c r="L20" s="46">
        <f t="shared" si="12"/>
        <v>43191</v>
      </c>
      <c r="M20" s="46">
        <f t="shared" si="12"/>
        <v>43556</v>
      </c>
      <c r="N20" s="46">
        <f t="shared" si="12"/>
        <v>43922</v>
      </c>
      <c r="O20" s="46">
        <f t="shared" si="12"/>
        <v>44287</v>
      </c>
      <c r="P20" s="46">
        <f t="shared" si="12"/>
        <v>44652</v>
      </c>
      <c r="Q20" s="46">
        <f t="shared" si="12"/>
        <v>45017</v>
      </c>
      <c r="R20" s="46">
        <f t="shared" si="12"/>
        <v>45383</v>
      </c>
      <c r="S20" s="8"/>
      <c r="T20" s="8"/>
      <c r="U20" s="8"/>
      <c r="V20" s="8"/>
      <c r="W20" s="8"/>
    </row>
    <row r="21" spans="1:23" s="119" customFormat="1" ht="13">
      <c r="A21" s="23"/>
      <c r="B21" s="23"/>
      <c r="C21" s="24"/>
      <c r="D21" s="25"/>
      <c r="E21" s="47" t="s">
        <v>146</v>
      </c>
      <c r="F21" s="186"/>
      <c r="G21" s="252" t="s">
        <v>122</v>
      </c>
      <c r="H21" s="252"/>
      <c r="I21" s="46"/>
      <c r="J21" s="252">
        <f t="shared" ref="J21" si="13" xml:space="preserve"> DATE(YEAR(J20), MONTH(J20) + 12, DAY(1) - 1)</f>
        <v>42825</v>
      </c>
      <c r="K21" s="252">
        <f t="shared" ref="K21:R21" si="14" xml:space="preserve"> DATE(YEAR(K20), MONTH(K20) + 12, DAY(1) - 1)</f>
        <v>43190</v>
      </c>
      <c r="L21" s="252">
        <f t="shared" si="14"/>
        <v>43555</v>
      </c>
      <c r="M21" s="252">
        <f t="shared" si="14"/>
        <v>43921</v>
      </c>
      <c r="N21" s="252">
        <f t="shared" si="14"/>
        <v>44286</v>
      </c>
      <c r="O21" s="252">
        <f t="shared" si="14"/>
        <v>44651</v>
      </c>
      <c r="P21" s="252">
        <f t="shared" si="14"/>
        <v>45016</v>
      </c>
      <c r="Q21" s="252">
        <f t="shared" si="14"/>
        <v>45382</v>
      </c>
      <c r="R21" s="252">
        <f t="shared" si="14"/>
        <v>45747</v>
      </c>
      <c r="S21" s="8"/>
      <c r="T21" s="8"/>
      <c r="U21" s="8"/>
      <c r="V21" s="8"/>
      <c r="W21" s="8"/>
    </row>
    <row r="22" spans="1:23" s="119" customFormat="1" ht="13">
      <c r="A22" s="23"/>
      <c r="B22" s="23"/>
      <c r="C22" s="24"/>
      <c r="D22" s="25"/>
      <c r="E22" s="26"/>
      <c r="F22" s="254"/>
      <c r="G22" s="255"/>
      <c r="H22" s="26"/>
      <c r="I22" s="46"/>
      <c r="J22" s="46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s="25" customFormat="1" ht="13">
      <c r="A23" s="253" t="s">
        <v>147</v>
      </c>
      <c r="B23" s="48"/>
      <c r="C23" s="49"/>
      <c r="D23" s="50"/>
      <c r="E23" s="6"/>
    </row>
    <row r="24" spans="1:23" s="26" customFormat="1" ht="13">
      <c r="A24" s="51"/>
      <c r="B24" s="48"/>
      <c r="C24" s="49"/>
      <c r="D24" s="38"/>
      <c r="E24" s="21"/>
    </row>
    <row r="25" spans="1:23" s="26" customFormat="1" ht="13">
      <c r="A25" s="51"/>
      <c r="B25" s="48"/>
      <c r="C25" s="49"/>
      <c r="D25" s="38"/>
      <c r="E25" s="74" t="str">
        <f>InputsC!E11</f>
        <v>First Modelling Column Financial Year Number</v>
      </c>
      <c r="F25" s="78">
        <f>InputsC!F11</f>
        <v>2017</v>
      </c>
      <c r="G25" s="77" t="str">
        <f>InputsC!G11</f>
        <v>count</v>
      </c>
    </row>
    <row r="26" spans="1:23" s="26" customFormat="1" ht="13">
      <c r="A26" s="51"/>
      <c r="B26" s="48"/>
      <c r="C26" s="49"/>
      <c r="D26" s="38"/>
      <c r="E26" s="74" t="str">
        <f>InputsC!E13</f>
        <v>Financial Year End Month Number</v>
      </c>
      <c r="F26" s="77">
        <f>InputsC!F13</f>
        <v>3</v>
      </c>
      <c r="G26" s="77" t="str">
        <f>InputsC!G13</f>
        <v>month #</v>
      </c>
    </row>
    <row r="27" spans="1:23" s="46" customFormat="1" ht="13">
      <c r="A27" s="52"/>
      <c r="B27" s="53"/>
      <c r="C27" s="54"/>
      <c r="D27" s="55"/>
      <c r="E27" s="21" t="str">
        <f xml:space="preserve"> E21</f>
        <v>Model Period Ending</v>
      </c>
      <c r="F27" s="21">
        <f t="shared" ref="F27:I27" si="15" xml:space="preserve"> F21</f>
        <v>0</v>
      </c>
      <c r="G27" s="21" t="str">
        <f t="shared" si="15"/>
        <v>date</v>
      </c>
      <c r="H27" s="21">
        <f t="shared" si="15"/>
        <v>0</v>
      </c>
      <c r="I27" s="21">
        <f t="shared" si="15"/>
        <v>0</v>
      </c>
      <c r="J27" s="46">
        <f t="shared" ref="J27:R27" si="16" xml:space="preserve"> J21</f>
        <v>42825</v>
      </c>
      <c r="K27" s="46">
        <f t="shared" si="16"/>
        <v>43190</v>
      </c>
      <c r="L27" s="46">
        <f t="shared" si="16"/>
        <v>43555</v>
      </c>
      <c r="M27" s="46">
        <f t="shared" si="16"/>
        <v>43921</v>
      </c>
      <c r="N27" s="46">
        <f t="shared" si="16"/>
        <v>44286</v>
      </c>
      <c r="O27" s="46">
        <f t="shared" si="16"/>
        <v>44651</v>
      </c>
      <c r="P27" s="46">
        <f t="shared" si="16"/>
        <v>45016</v>
      </c>
      <c r="Q27" s="46">
        <f t="shared" si="16"/>
        <v>45382</v>
      </c>
      <c r="R27" s="46">
        <f t="shared" si="16"/>
        <v>45747</v>
      </c>
    </row>
    <row r="28" spans="1:23" s="26" customFormat="1" ht="13">
      <c r="A28" s="51"/>
      <c r="B28" s="48"/>
      <c r="C28" s="49"/>
      <c r="D28" s="38"/>
      <c r="E28" s="21" t="str">
        <f xml:space="preserve"> E$12</f>
        <v>First model column flag</v>
      </c>
      <c r="F28" s="21">
        <f t="shared" ref="F28:R28" si="17" xml:space="preserve"> F$12</f>
        <v>0</v>
      </c>
      <c r="G28" s="21" t="str">
        <f t="shared" si="17"/>
        <v>flag</v>
      </c>
      <c r="H28" s="21">
        <f t="shared" si="17"/>
        <v>0</v>
      </c>
      <c r="I28" s="21">
        <f t="shared" si="17"/>
        <v>0</v>
      </c>
      <c r="J28" s="21">
        <f t="shared" si="17"/>
        <v>1</v>
      </c>
      <c r="K28" s="21">
        <f t="shared" si="17"/>
        <v>0</v>
      </c>
      <c r="L28" s="21">
        <f t="shared" si="17"/>
        <v>0</v>
      </c>
      <c r="M28" s="21">
        <f t="shared" si="17"/>
        <v>0</v>
      </c>
      <c r="N28" s="21">
        <f t="shared" si="17"/>
        <v>0</v>
      </c>
      <c r="O28" s="21">
        <f t="shared" si="17"/>
        <v>0</v>
      </c>
      <c r="P28" s="21">
        <f t="shared" si="17"/>
        <v>0</v>
      </c>
      <c r="Q28" s="21">
        <f t="shared" si="17"/>
        <v>0</v>
      </c>
      <c r="R28" s="21">
        <f t="shared" si="17"/>
        <v>0</v>
      </c>
    </row>
    <row r="29" spans="1:23" s="26" customFormat="1" ht="13">
      <c r="A29" s="51"/>
      <c r="B29" s="48"/>
      <c r="C29" s="49"/>
      <c r="D29" s="38"/>
      <c r="E29" s="21" t="s">
        <v>148</v>
      </c>
      <c r="G29" s="26" t="s">
        <v>149</v>
      </c>
      <c r="I29" s="256"/>
      <c r="J29" s="257">
        <f xml:space="preserve"> IF(J28 = 1, $F25, IF(J27 &gt; (DATE(I29, $F26 + 1, 1) - 1), I29 + 1, I29))</f>
        <v>2017</v>
      </c>
      <c r="K29" s="257">
        <f t="shared" ref="K29:R29" si="18" xml:space="preserve"> IF(K28 = 1, $F25, IF(K27 &gt; (DATE(J29, $F26 + 1, 1) - 1), J29 + 1, J29))</f>
        <v>2018</v>
      </c>
      <c r="L29" s="257">
        <f t="shared" si="18"/>
        <v>2019</v>
      </c>
      <c r="M29" s="257">
        <f t="shared" si="18"/>
        <v>2020</v>
      </c>
      <c r="N29" s="257">
        <f t="shared" si="18"/>
        <v>2021</v>
      </c>
      <c r="O29" s="257">
        <f t="shared" si="18"/>
        <v>2022</v>
      </c>
      <c r="P29" s="257">
        <f t="shared" si="18"/>
        <v>2023</v>
      </c>
      <c r="Q29" s="257">
        <f t="shared" si="18"/>
        <v>2024</v>
      </c>
      <c r="R29" s="257">
        <f t="shared" si="18"/>
        <v>2025</v>
      </c>
    </row>
    <row r="30" spans="1:23" s="119" customFormat="1" ht="12.5"/>
    <row r="31" spans="1:23" s="8" customFormat="1" ht="13">
      <c r="A31" s="56" t="s">
        <v>150</v>
      </c>
      <c r="B31" s="53"/>
      <c r="C31" s="54"/>
      <c r="D31" s="57"/>
      <c r="E31" s="6"/>
    </row>
    <row r="32" spans="1:23" s="8" customFormat="1" ht="13">
      <c r="A32" s="56"/>
      <c r="B32" s="53"/>
      <c r="C32" s="54"/>
      <c r="D32" s="57"/>
      <c r="E32" s="6"/>
    </row>
    <row r="33" spans="1:81" s="40" customFormat="1" ht="13">
      <c r="A33" s="58"/>
      <c r="B33" s="59"/>
      <c r="C33" s="60"/>
      <c r="D33" s="61"/>
      <c r="E33" s="75" t="str">
        <f>InputsC!E15</f>
        <v>Last Pre Forecast Date</v>
      </c>
      <c r="F33" s="76">
        <f>InputsC!F15</f>
        <v>43921</v>
      </c>
      <c r="G33" s="76" t="str">
        <f>InputsC!G15</f>
        <v>date</v>
      </c>
    </row>
    <row r="34" spans="1:81" s="64" customFormat="1" ht="13">
      <c r="A34" s="56"/>
      <c r="B34" s="62"/>
      <c r="C34" s="63"/>
      <c r="D34" s="55"/>
      <c r="E34" s="64" t="str">
        <f xml:space="preserve"> E$21</f>
        <v>Model Period Ending</v>
      </c>
      <c r="F34" s="64">
        <f xml:space="preserve"> F$21</f>
        <v>0</v>
      </c>
      <c r="G34" s="64" t="str">
        <f t="shared" ref="G34:R34" si="19" xml:space="preserve"> G$21</f>
        <v>date</v>
      </c>
      <c r="H34" s="64">
        <f t="shared" si="19"/>
        <v>0</v>
      </c>
      <c r="I34" s="64">
        <f t="shared" si="19"/>
        <v>0</v>
      </c>
      <c r="J34" s="64">
        <f xml:space="preserve"> J$21</f>
        <v>42825</v>
      </c>
      <c r="K34" s="64">
        <f xml:space="preserve"> K$21</f>
        <v>43190</v>
      </c>
      <c r="L34" s="64">
        <f xml:space="preserve"> L$21</f>
        <v>43555</v>
      </c>
      <c r="M34" s="64">
        <f t="shared" si="19"/>
        <v>43921</v>
      </c>
      <c r="N34" s="64">
        <f t="shared" si="19"/>
        <v>44286</v>
      </c>
      <c r="O34" s="64">
        <f t="shared" si="19"/>
        <v>44651</v>
      </c>
      <c r="P34" s="64">
        <f t="shared" si="19"/>
        <v>45016</v>
      </c>
      <c r="Q34" s="64">
        <f t="shared" si="19"/>
        <v>45382</v>
      </c>
      <c r="R34" s="64">
        <f t="shared" si="19"/>
        <v>45747</v>
      </c>
    </row>
    <row r="35" spans="1:81" s="26" customFormat="1" ht="13">
      <c r="A35" s="35"/>
      <c r="B35" s="36"/>
      <c r="C35" s="37"/>
      <c r="D35" s="38"/>
      <c r="E35" s="21" t="s">
        <v>128</v>
      </c>
      <c r="G35" s="26" t="s">
        <v>141</v>
      </c>
      <c r="H35" s="26">
        <f xml:space="preserve"> SUM(L35:CC35)</f>
        <v>1</v>
      </c>
      <c r="J35" s="26">
        <f t="shared" ref="J35:K35" si="20" xml:space="preserve"> IF(J34 = $F33, 1, 0)</f>
        <v>0</v>
      </c>
      <c r="K35" s="26">
        <f t="shared" si="20"/>
        <v>0</v>
      </c>
      <c r="L35" s="26">
        <f t="shared" ref="L35:R35" si="21" xml:space="preserve"> IF(L34 = $F33, 1, 0)</f>
        <v>0</v>
      </c>
      <c r="M35" s="26">
        <f xml:space="preserve"> IF(M34 = $F33, 1, 0)</f>
        <v>1</v>
      </c>
      <c r="N35" s="26">
        <f t="shared" si="21"/>
        <v>0</v>
      </c>
      <c r="O35" s="26">
        <f t="shared" si="21"/>
        <v>0</v>
      </c>
      <c r="P35" s="26">
        <f t="shared" si="21"/>
        <v>0</v>
      </c>
      <c r="Q35" s="26">
        <f t="shared" si="21"/>
        <v>0</v>
      </c>
      <c r="R35" s="26">
        <f t="shared" si="21"/>
        <v>0</v>
      </c>
    </row>
    <row r="36" spans="1:81" s="26" customFormat="1" ht="13">
      <c r="A36" s="35"/>
      <c r="B36" s="36"/>
      <c r="C36" s="37"/>
      <c r="D36" s="38"/>
      <c r="E36" s="21" t="s">
        <v>151</v>
      </c>
      <c r="G36" s="26" t="s">
        <v>141</v>
      </c>
      <c r="H36" s="26">
        <f xml:space="preserve"> SUM(J36:CC36)</f>
        <v>4</v>
      </c>
      <c r="J36" s="26">
        <f t="shared" ref="J36:K36" si="22" xml:space="preserve"> IF($F33 &gt;= J34, 1, 0)</f>
        <v>1</v>
      </c>
      <c r="K36" s="26">
        <f t="shared" si="22"/>
        <v>1</v>
      </c>
      <c r="L36" s="26">
        <f t="shared" ref="L36:R36" si="23" xml:space="preserve"> IF($F33 &gt;= L34, 1, 0)</f>
        <v>1</v>
      </c>
      <c r="M36" s="26">
        <f t="shared" si="23"/>
        <v>1</v>
      </c>
      <c r="N36" s="26">
        <f t="shared" si="23"/>
        <v>0</v>
      </c>
      <c r="O36" s="26">
        <f t="shared" si="23"/>
        <v>0</v>
      </c>
      <c r="P36" s="26">
        <f t="shared" si="23"/>
        <v>0</v>
      </c>
      <c r="Q36" s="26">
        <f t="shared" si="23"/>
        <v>0</v>
      </c>
      <c r="R36" s="26">
        <f t="shared" si="23"/>
        <v>0</v>
      </c>
    </row>
    <row r="37" spans="1:81" s="25" customFormat="1" ht="13">
      <c r="A37" s="35"/>
      <c r="B37" s="48"/>
      <c r="C37" s="49"/>
      <c r="D37" s="50"/>
      <c r="E37" s="6" t="s">
        <v>152</v>
      </c>
      <c r="F37" s="65">
        <f xml:space="preserve"> SUM(J36:CC36)</f>
        <v>4</v>
      </c>
      <c r="G37" s="25" t="s">
        <v>139</v>
      </c>
    </row>
    <row r="38" spans="1:81" s="25" customFormat="1" ht="13">
      <c r="A38" s="35"/>
      <c r="B38" s="48"/>
      <c r="C38" s="49"/>
      <c r="D38" s="50"/>
      <c r="E38" s="6"/>
    </row>
    <row r="39" spans="1:81" s="25" customFormat="1" ht="13">
      <c r="A39" s="35" t="s">
        <v>153</v>
      </c>
      <c r="B39" s="48"/>
      <c r="C39" s="49"/>
      <c r="D39" s="50"/>
      <c r="E39" s="6"/>
    </row>
    <row r="40" spans="1:81" s="25" customFormat="1" ht="13">
      <c r="A40" s="35"/>
      <c r="B40" s="48"/>
      <c r="C40" s="49"/>
      <c r="D40" s="50"/>
      <c r="E40" s="6"/>
    </row>
    <row r="41" spans="1:81" s="26" customFormat="1" ht="13">
      <c r="A41" s="51"/>
      <c r="B41" s="48"/>
      <c r="C41" s="49"/>
      <c r="D41" s="38"/>
      <c r="E41" s="21" t="str">
        <f t="shared" ref="E41:R41" si="24" xml:space="preserve"> E$35</f>
        <v>Last Pre Forecast Flag</v>
      </c>
      <c r="F41" s="21">
        <f t="shared" si="24"/>
        <v>0</v>
      </c>
      <c r="G41" s="21" t="str">
        <f t="shared" si="24"/>
        <v>flag</v>
      </c>
      <c r="H41" s="135">
        <f t="shared" si="24"/>
        <v>1</v>
      </c>
      <c r="I41" s="135">
        <f t="shared" si="24"/>
        <v>0</v>
      </c>
      <c r="J41" s="135">
        <f t="shared" si="24"/>
        <v>0</v>
      </c>
      <c r="K41" s="135">
        <f t="shared" si="24"/>
        <v>0</v>
      </c>
      <c r="L41" s="135">
        <f t="shared" si="24"/>
        <v>0</v>
      </c>
      <c r="M41" s="135">
        <f xml:space="preserve"> M$35</f>
        <v>1</v>
      </c>
      <c r="N41" s="135">
        <f t="shared" si="24"/>
        <v>0</v>
      </c>
      <c r="O41" s="135">
        <f t="shared" si="24"/>
        <v>0</v>
      </c>
      <c r="P41" s="135">
        <f t="shared" si="24"/>
        <v>0</v>
      </c>
      <c r="Q41" s="135">
        <f t="shared" si="24"/>
        <v>0</v>
      </c>
      <c r="R41" s="135">
        <f t="shared" si="24"/>
        <v>0</v>
      </c>
      <c r="S41" s="21"/>
      <c r="T41" s="21"/>
      <c r="U41" s="21"/>
    </row>
    <row r="42" spans="1:81" s="26" customFormat="1" ht="13">
      <c r="A42" s="51"/>
      <c r="B42" s="48"/>
      <c r="C42" s="49"/>
      <c r="D42" s="38"/>
      <c r="E42" s="267" t="s">
        <v>154</v>
      </c>
      <c r="G42" s="26" t="s">
        <v>141</v>
      </c>
      <c r="H42" s="26">
        <f xml:space="preserve"> SUM(L42:CC42)</f>
        <v>1</v>
      </c>
      <c r="J42" s="26">
        <f xml:space="preserve"> I41</f>
        <v>0</v>
      </c>
      <c r="K42" s="26">
        <f t="shared" ref="K42:R42" si="25" xml:space="preserve"> J41</f>
        <v>0</v>
      </c>
      <c r="L42" s="26">
        <f t="shared" si="25"/>
        <v>0</v>
      </c>
      <c r="M42" s="26">
        <f t="shared" si="25"/>
        <v>0</v>
      </c>
      <c r="N42" s="26">
        <f t="shared" si="25"/>
        <v>1</v>
      </c>
      <c r="O42" s="26">
        <f t="shared" si="25"/>
        <v>0</v>
      </c>
      <c r="P42" s="26">
        <f t="shared" si="25"/>
        <v>0</v>
      </c>
      <c r="Q42" s="26">
        <f t="shared" si="25"/>
        <v>0</v>
      </c>
      <c r="R42" s="26">
        <f t="shared" si="25"/>
        <v>0</v>
      </c>
    </row>
    <row r="43" spans="1:81" s="26" customFormat="1" ht="13">
      <c r="A43" s="51"/>
      <c r="B43" s="48"/>
      <c r="C43" s="49"/>
      <c r="D43" s="38"/>
      <c r="E43" s="21"/>
    </row>
    <row r="44" spans="1:81" s="40" customFormat="1" ht="13">
      <c r="A44" s="58"/>
      <c r="B44" s="59"/>
      <c r="C44" s="60"/>
      <c r="D44" s="61"/>
      <c r="E44" s="75" t="str">
        <f>InputsC!E17</f>
        <v>Last Pre Forecast Flag</v>
      </c>
      <c r="F44" s="76">
        <f>InputsC!F17</f>
        <v>45747</v>
      </c>
      <c r="G44" s="76" t="str">
        <f>InputsC!G17</f>
        <v>date</v>
      </c>
    </row>
    <row r="45" spans="1:81" s="26" customFormat="1" ht="13">
      <c r="A45" s="51"/>
      <c r="B45" s="48"/>
      <c r="C45" s="49"/>
      <c r="D45" s="38"/>
      <c r="E45" s="66" t="str">
        <f xml:space="preserve"> E$21</f>
        <v>Model Period Ending</v>
      </c>
      <c r="F45" s="66">
        <f t="shared" ref="F45:R45" si="26" xml:space="preserve"> F$21</f>
        <v>0</v>
      </c>
      <c r="G45" s="66" t="str">
        <f t="shared" si="26"/>
        <v>date</v>
      </c>
      <c r="H45" s="66">
        <f t="shared" si="26"/>
        <v>0</v>
      </c>
      <c r="I45" s="66">
        <f t="shared" si="26"/>
        <v>0</v>
      </c>
      <c r="J45" s="64">
        <f t="shared" si="26"/>
        <v>42825</v>
      </c>
      <c r="K45" s="64">
        <f t="shared" si="26"/>
        <v>43190</v>
      </c>
      <c r="L45" s="64">
        <f t="shared" si="26"/>
        <v>43555</v>
      </c>
      <c r="M45" s="64">
        <f t="shared" si="26"/>
        <v>43921</v>
      </c>
      <c r="N45" s="64">
        <f t="shared" si="26"/>
        <v>44286</v>
      </c>
      <c r="O45" s="64">
        <f t="shared" si="26"/>
        <v>44651</v>
      </c>
      <c r="P45" s="64">
        <f t="shared" si="26"/>
        <v>45016</v>
      </c>
      <c r="Q45" s="64">
        <f t="shared" si="26"/>
        <v>45382</v>
      </c>
      <c r="R45" s="64">
        <f t="shared" si="26"/>
        <v>45747</v>
      </c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</row>
    <row r="46" spans="1:81" s="26" customFormat="1" ht="13">
      <c r="A46" s="51"/>
      <c r="B46" s="48"/>
      <c r="C46" s="49"/>
      <c r="D46" s="38"/>
      <c r="E46" s="47" t="s">
        <v>155</v>
      </c>
      <c r="G46" s="26" t="s">
        <v>141</v>
      </c>
      <c r="H46" s="26">
        <f xml:space="preserve"> SUM(L46:CC46)</f>
        <v>1</v>
      </c>
      <c r="J46" s="26">
        <f xml:space="preserve"> IF(AND($F44 &gt; I45, $F44 &lt;= J45), 1, 0)</f>
        <v>0</v>
      </c>
      <c r="K46" s="26">
        <f t="shared" ref="K46:R46" si="27" xml:space="preserve"> IF(AND($F44 &gt; J45, $F44 &lt;= K45), 1, 0)</f>
        <v>0</v>
      </c>
      <c r="L46" s="26">
        <f t="shared" si="27"/>
        <v>0</v>
      </c>
      <c r="M46" s="26">
        <f t="shared" si="27"/>
        <v>0</v>
      </c>
      <c r="N46" s="26">
        <f t="shared" si="27"/>
        <v>0</v>
      </c>
      <c r="O46" s="26">
        <f t="shared" si="27"/>
        <v>0</v>
      </c>
      <c r="P46" s="26">
        <f t="shared" si="27"/>
        <v>0</v>
      </c>
      <c r="Q46" s="26">
        <f t="shared" si="27"/>
        <v>0</v>
      </c>
      <c r="R46" s="26">
        <f t="shared" si="27"/>
        <v>1</v>
      </c>
    </row>
    <row r="47" spans="1:81" s="26" customFormat="1" ht="13">
      <c r="A47" s="51"/>
      <c r="B47" s="48"/>
      <c r="C47" s="49"/>
      <c r="D47" s="38"/>
      <c r="E47" s="6"/>
    </row>
    <row r="48" spans="1:81" s="26" customFormat="1" ht="13">
      <c r="A48" s="51"/>
      <c r="B48" s="48"/>
      <c r="C48" s="49"/>
      <c r="D48" s="38"/>
      <c r="E48" s="6" t="str">
        <f xml:space="preserve"> E$42</f>
        <v>1st Forecast Period Flag</v>
      </c>
      <c r="F48" s="6">
        <f t="shared" ref="F48:R48" si="28" xml:space="preserve"> F$42</f>
        <v>0</v>
      </c>
      <c r="G48" s="6" t="str">
        <f t="shared" si="28"/>
        <v>flag</v>
      </c>
      <c r="H48" s="6">
        <f t="shared" si="28"/>
        <v>1</v>
      </c>
      <c r="I48" s="6">
        <f t="shared" si="28"/>
        <v>0</v>
      </c>
      <c r="J48" s="6">
        <f t="shared" si="28"/>
        <v>0</v>
      </c>
      <c r="K48" s="6">
        <f t="shared" si="28"/>
        <v>0</v>
      </c>
      <c r="L48" s="6">
        <f t="shared" si="28"/>
        <v>0</v>
      </c>
      <c r="M48" s="6">
        <f t="shared" si="28"/>
        <v>0</v>
      </c>
      <c r="N48" s="6">
        <f xml:space="preserve"> N$42</f>
        <v>1</v>
      </c>
      <c r="O48" s="6">
        <f t="shared" si="28"/>
        <v>0</v>
      </c>
      <c r="P48" s="6">
        <f t="shared" si="28"/>
        <v>0</v>
      </c>
      <c r="Q48" s="6">
        <f t="shared" si="28"/>
        <v>0</v>
      </c>
      <c r="R48" s="6">
        <f t="shared" si="28"/>
        <v>0</v>
      </c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</row>
    <row r="49" spans="1:81" s="26" customFormat="1" ht="13">
      <c r="A49" s="51"/>
      <c r="B49" s="48"/>
      <c r="C49" s="49"/>
      <c r="D49" s="38"/>
      <c r="E49" s="6" t="str">
        <f xml:space="preserve"> E$46</f>
        <v>Last Forecast Period Flag</v>
      </c>
      <c r="F49" s="6">
        <f t="shared" ref="F49:R49" si="29" xml:space="preserve"> F$46</f>
        <v>0</v>
      </c>
      <c r="G49" s="6" t="str">
        <f t="shared" si="29"/>
        <v>flag</v>
      </c>
      <c r="H49" s="6">
        <f t="shared" si="29"/>
        <v>1</v>
      </c>
      <c r="I49" s="6">
        <f t="shared" si="29"/>
        <v>0</v>
      </c>
      <c r="J49" s="6">
        <f t="shared" si="29"/>
        <v>0</v>
      </c>
      <c r="K49" s="6">
        <f t="shared" si="29"/>
        <v>0</v>
      </c>
      <c r="L49" s="6">
        <f t="shared" si="29"/>
        <v>0</v>
      </c>
      <c r="M49" s="6">
        <f t="shared" si="29"/>
        <v>0</v>
      </c>
      <c r="N49" s="6">
        <f t="shared" si="29"/>
        <v>0</v>
      </c>
      <c r="O49" s="6">
        <f t="shared" si="29"/>
        <v>0</v>
      </c>
      <c r="P49" s="6">
        <f t="shared" si="29"/>
        <v>0</v>
      </c>
      <c r="Q49" s="6">
        <f t="shared" si="29"/>
        <v>0</v>
      </c>
      <c r="R49" s="6">
        <f t="shared" si="29"/>
        <v>1</v>
      </c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</row>
    <row r="50" spans="1:81" s="68" customFormat="1" ht="13">
      <c r="A50" s="51"/>
      <c r="B50" s="48"/>
      <c r="C50" s="49"/>
      <c r="D50" s="38"/>
      <c r="E50" s="47" t="s">
        <v>156</v>
      </c>
      <c r="G50" s="68" t="s">
        <v>141</v>
      </c>
      <c r="H50" s="68">
        <f xml:space="preserve"> SUM(L50:CC50)</f>
        <v>5</v>
      </c>
      <c r="I50" s="69"/>
      <c r="J50" s="68">
        <f xml:space="preserve"> J48 - I49 + I50</f>
        <v>0</v>
      </c>
      <c r="K50" s="68">
        <f t="shared" ref="K50:R50" si="30" xml:space="preserve"> K48 - J49 + J50</f>
        <v>0</v>
      </c>
      <c r="L50" s="68">
        <f t="shared" si="30"/>
        <v>0</v>
      </c>
      <c r="M50" s="68">
        <f t="shared" si="30"/>
        <v>0</v>
      </c>
      <c r="N50" s="68">
        <f t="shared" si="30"/>
        <v>1</v>
      </c>
      <c r="O50" s="68">
        <f t="shared" si="30"/>
        <v>1</v>
      </c>
      <c r="P50" s="68">
        <f t="shared" si="30"/>
        <v>1</v>
      </c>
      <c r="Q50" s="68">
        <f t="shared" si="30"/>
        <v>1</v>
      </c>
      <c r="R50" s="68">
        <f t="shared" si="30"/>
        <v>1</v>
      </c>
    </row>
    <row r="51" spans="1:81" s="25" customFormat="1" ht="13">
      <c r="A51" s="35"/>
      <c r="B51" s="48"/>
      <c r="C51" s="49"/>
      <c r="D51" s="50"/>
      <c r="E51" s="6" t="s">
        <v>157</v>
      </c>
      <c r="F51" s="25">
        <f xml:space="preserve"> SUM(L50:CC50)</f>
        <v>5</v>
      </c>
      <c r="G51" s="25" t="s">
        <v>139</v>
      </c>
    </row>
    <row r="52" spans="1:81" s="25" customFormat="1" ht="13">
      <c r="A52" s="35"/>
      <c r="B52" s="48"/>
      <c r="C52" s="49"/>
      <c r="D52" s="50"/>
      <c r="E52" s="6"/>
    </row>
    <row r="53" spans="1:81" s="25" customFormat="1" ht="13">
      <c r="A53" s="35"/>
      <c r="B53" s="48"/>
      <c r="C53" s="49"/>
      <c r="D53" s="50"/>
      <c r="E53" s="6" t="str">
        <f xml:space="preserve"> E$36</f>
        <v>Pre Forecast Period Flag</v>
      </c>
      <c r="F53" s="6">
        <f t="shared" ref="F53:R53" si="31" xml:space="preserve"> F$36</f>
        <v>0</v>
      </c>
      <c r="G53" s="6" t="str">
        <f t="shared" si="31"/>
        <v>flag</v>
      </c>
      <c r="H53" s="134">
        <f t="shared" si="31"/>
        <v>4</v>
      </c>
      <c r="I53" s="134">
        <f t="shared" si="31"/>
        <v>0</v>
      </c>
      <c r="J53" s="134">
        <f t="shared" si="31"/>
        <v>1</v>
      </c>
      <c r="K53" s="134">
        <f t="shared" si="31"/>
        <v>1</v>
      </c>
      <c r="L53" s="134">
        <f t="shared" si="31"/>
        <v>1</v>
      </c>
      <c r="M53" s="134">
        <f t="shared" si="31"/>
        <v>1</v>
      </c>
      <c r="N53" s="134">
        <f t="shared" si="31"/>
        <v>0</v>
      </c>
      <c r="O53" s="134">
        <f t="shared" si="31"/>
        <v>0</v>
      </c>
      <c r="P53" s="134">
        <f t="shared" si="31"/>
        <v>0</v>
      </c>
      <c r="Q53" s="134">
        <f t="shared" si="31"/>
        <v>0</v>
      </c>
      <c r="R53" s="134">
        <f t="shared" si="31"/>
        <v>0</v>
      </c>
    </row>
    <row r="54" spans="1:81" s="25" customFormat="1" ht="13">
      <c r="A54" s="35"/>
      <c r="B54" s="48"/>
      <c r="C54" s="49"/>
      <c r="D54" s="50"/>
      <c r="E54" s="6" t="str">
        <f xml:space="preserve"> E$50</f>
        <v>Forecast Period Flag</v>
      </c>
      <c r="F54" s="6">
        <f t="shared" ref="F54:R54" si="32" xml:space="preserve"> F$50</f>
        <v>0</v>
      </c>
      <c r="G54" s="6" t="str">
        <f t="shared" si="32"/>
        <v>flag</v>
      </c>
      <c r="H54" s="134">
        <f t="shared" si="32"/>
        <v>5</v>
      </c>
      <c r="I54" s="134">
        <f t="shared" si="32"/>
        <v>0</v>
      </c>
      <c r="J54" s="134">
        <f t="shared" si="32"/>
        <v>0</v>
      </c>
      <c r="K54" s="134">
        <f t="shared" si="32"/>
        <v>0</v>
      </c>
      <c r="L54" s="134">
        <f t="shared" si="32"/>
        <v>0</v>
      </c>
      <c r="M54" s="134">
        <f t="shared" si="32"/>
        <v>0</v>
      </c>
      <c r="N54" s="134">
        <f t="shared" si="32"/>
        <v>1</v>
      </c>
      <c r="O54" s="134">
        <f t="shared" si="32"/>
        <v>1</v>
      </c>
      <c r="P54" s="134">
        <f t="shared" si="32"/>
        <v>1</v>
      </c>
      <c r="Q54" s="134">
        <f t="shared" si="32"/>
        <v>1</v>
      </c>
      <c r="R54" s="134">
        <f t="shared" si="32"/>
        <v>1</v>
      </c>
    </row>
    <row r="55" spans="1:81" s="25" customFormat="1" ht="13">
      <c r="A55" s="35"/>
      <c r="B55" s="48"/>
      <c r="C55" s="49"/>
      <c r="D55" s="50"/>
      <c r="E55" s="47" t="s">
        <v>158</v>
      </c>
      <c r="F55" s="186"/>
      <c r="G55" s="186" t="s">
        <v>141</v>
      </c>
      <c r="H55" s="186"/>
      <c r="I55" s="186"/>
      <c r="J55" s="186" t="str">
        <f t="shared" ref="J55:K55" si="33" xml:space="preserve"> IF(J53 = 1, "Pre Fcst", IF(J54 = 1, "Forecast", "Post-Fcst"))</f>
        <v>Pre Fcst</v>
      </c>
      <c r="K55" s="186" t="str">
        <f t="shared" si="33"/>
        <v>Pre Fcst</v>
      </c>
      <c r="L55" s="186" t="str">
        <f t="shared" ref="L55:R55" si="34" xml:space="preserve"> IF(L53 = 1, "Pre Fcst", IF(L54 = 1, "Forecast", "Post-Fcst"))</f>
        <v>Pre Fcst</v>
      </c>
      <c r="M55" s="186" t="str">
        <f t="shared" si="34"/>
        <v>Pre Fcst</v>
      </c>
      <c r="N55" s="186" t="str">
        <f t="shared" si="34"/>
        <v>Forecast</v>
      </c>
      <c r="O55" s="186" t="str">
        <f t="shared" si="34"/>
        <v>Forecast</v>
      </c>
      <c r="P55" s="186" t="str">
        <f t="shared" si="34"/>
        <v>Forecast</v>
      </c>
      <c r="Q55" s="186" t="str">
        <f t="shared" si="34"/>
        <v>Forecast</v>
      </c>
      <c r="R55" s="186" t="str">
        <f t="shared" si="34"/>
        <v>Forecast</v>
      </c>
    </row>
    <row r="56" spans="1:81" s="25" customFormat="1" ht="13">
      <c r="A56" s="35"/>
      <c r="B56" s="48"/>
      <c r="C56" s="49"/>
      <c r="D56" s="50"/>
      <c r="E56" s="47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</row>
    <row r="57" spans="1:81" s="25" customFormat="1" ht="13">
      <c r="A57" s="35"/>
      <c r="B57" s="48"/>
      <c r="C57" s="49"/>
      <c r="D57" s="50"/>
      <c r="E57" s="6" t="str">
        <f xml:space="preserve"> E$36</f>
        <v>Pre Forecast Period Flag</v>
      </c>
      <c r="F57" s="6">
        <f t="shared" ref="F57:R57" si="35" xml:space="preserve"> F$36</f>
        <v>0</v>
      </c>
      <c r="G57" s="6" t="str">
        <f t="shared" si="35"/>
        <v>flag</v>
      </c>
      <c r="H57" s="134">
        <f t="shared" si="35"/>
        <v>4</v>
      </c>
      <c r="I57" s="134">
        <f t="shared" si="35"/>
        <v>0</v>
      </c>
      <c r="J57" s="134">
        <f t="shared" si="35"/>
        <v>1</v>
      </c>
      <c r="K57" s="134">
        <f t="shared" si="35"/>
        <v>1</v>
      </c>
      <c r="L57" s="134">
        <f t="shared" si="35"/>
        <v>1</v>
      </c>
      <c r="M57" s="134">
        <f t="shared" si="35"/>
        <v>1</v>
      </c>
      <c r="N57" s="134">
        <f t="shared" si="35"/>
        <v>0</v>
      </c>
      <c r="O57" s="134">
        <f t="shared" si="35"/>
        <v>0</v>
      </c>
      <c r="P57" s="134">
        <f t="shared" si="35"/>
        <v>0</v>
      </c>
      <c r="Q57" s="134">
        <f t="shared" si="35"/>
        <v>0</v>
      </c>
      <c r="R57" s="134">
        <f t="shared" si="35"/>
        <v>0</v>
      </c>
    </row>
    <row r="58" spans="1:81" s="25" customFormat="1" ht="13">
      <c r="A58" s="35"/>
      <c r="B58" s="48"/>
      <c r="C58" s="49"/>
      <c r="D58" s="50"/>
      <c r="E58" s="6" t="str">
        <f xml:space="preserve"> E$50</f>
        <v>Forecast Period Flag</v>
      </c>
      <c r="F58" s="6">
        <f t="shared" ref="F58:R58" si="36" xml:space="preserve"> F$50</f>
        <v>0</v>
      </c>
      <c r="G58" s="6" t="str">
        <f t="shared" si="36"/>
        <v>flag</v>
      </c>
      <c r="H58" s="134">
        <f t="shared" si="36"/>
        <v>5</v>
      </c>
      <c r="I58" s="134">
        <f t="shared" si="36"/>
        <v>0</v>
      </c>
      <c r="J58" s="134">
        <f t="shared" si="36"/>
        <v>0</v>
      </c>
      <c r="K58" s="134">
        <f t="shared" si="36"/>
        <v>0</v>
      </c>
      <c r="L58" s="134">
        <f t="shared" si="36"/>
        <v>0</v>
      </c>
      <c r="M58" s="134">
        <f t="shared" si="36"/>
        <v>0</v>
      </c>
      <c r="N58" s="134">
        <f t="shared" si="36"/>
        <v>1</v>
      </c>
      <c r="O58" s="134">
        <f t="shared" si="36"/>
        <v>1</v>
      </c>
      <c r="P58" s="134">
        <f t="shared" si="36"/>
        <v>1</v>
      </c>
      <c r="Q58" s="134">
        <f t="shared" si="36"/>
        <v>1</v>
      </c>
      <c r="R58" s="134">
        <f t="shared" si="36"/>
        <v>1</v>
      </c>
    </row>
    <row r="59" spans="1:81" s="68" customFormat="1" ht="13">
      <c r="A59" s="263"/>
      <c r="B59" s="264"/>
      <c r="C59" s="265"/>
      <c r="D59" s="266"/>
      <c r="E59" s="267" t="s">
        <v>159</v>
      </c>
      <c r="F59" s="267"/>
      <c r="G59" s="267" t="s">
        <v>137</v>
      </c>
      <c r="H59" s="267"/>
      <c r="I59" s="267"/>
      <c r="J59" s="268">
        <f xml:space="preserve"> IF( J53 = 1,  J58, I59 + J58 )</f>
        <v>0</v>
      </c>
      <c r="K59" s="268">
        <f t="shared" ref="K59:R59" si="37" xml:space="preserve"> IF( K53 = 1,  K58, J59 + K58 )</f>
        <v>0</v>
      </c>
      <c r="L59" s="268">
        <f t="shared" si="37"/>
        <v>0</v>
      </c>
      <c r="M59" s="268">
        <f t="shared" si="37"/>
        <v>0</v>
      </c>
      <c r="N59" s="268">
        <f t="shared" si="37"/>
        <v>1</v>
      </c>
      <c r="O59" s="268">
        <f t="shared" si="37"/>
        <v>2</v>
      </c>
      <c r="P59" s="268">
        <f t="shared" si="37"/>
        <v>3</v>
      </c>
      <c r="Q59" s="268">
        <f t="shared" si="37"/>
        <v>4</v>
      </c>
      <c r="R59" s="268">
        <f t="shared" si="37"/>
        <v>5</v>
      </c>
    </row>
    <row r="60" spans="1:81" s="25" customFormat="1" ht="13">
      <c r="A60" s="35"/>
      <c r="B60" s="48"/>
      <c r="C60" s="49"/>
      <c r="D60" s="50"/>
      <c r="E60" s="47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</row>
    <row r="61" spans="1:81" s="117" customFormat="1" ht="13">
      <c r="A61" s="35" t="s">
        <v>160</v>
      </c>
    </row>
    <row r="62" spans="1:81" s="117" customFormat="1" ht="12.5"/>
    <row r="63" spans="1:81" s="117" customFormat="1" ht="13">
      <c r="B63" s="122"/>
      <c r="C63" s="123"/>
      <c r="D63" s="124"/>
      <c r="E63" s="12" t="str">
        <f xml:space="preserve"> E$9</f>
        <v>Model column total</v>
      </c>
      <c r="F63" s="12">
        <f xml:space="preserve"> F$9</f>
        <v>9</v>
      </c>
      <c r="G63" s="12" t="str">
        <f xml:space="preserve"> G$9</f>
        <v>columns</v>
      </c>
    </row>
    <row r="64" spans="1:81" s="117" customFormat="1" ht="13">
      <c r="B64" s="122"/>
      <c r="C64" s="123"/>
      <c r="D64" s="124" t="s">
        <v>161</v>
      </c>
      <c r="E64" s="12" t="str">
        <f xml:space="preserve"> E$37</f>
        <v>Pre Forecast Period Total</v>
      </c>
      <c r="F64" s="12">
        <f xml:space="preserve"> F$37</f>
        <v>4</v>
      </c>
      <c r="G64" s="12" t="str">
        <f xml:space="preserve"> G$37</f>
        <v>columns</v>
      </c>
    </row>
    <row r="65" spans="1:7" s="117" customFormat="1" ht="13">
      <c r="B65" s="122"/>
      <c r="C65" s="123"/>
      <c r="D65" s="124" t="s">
        <v>161</v>
      </c>
      <c r="E65" s="12" t="str">
        <f xml:space="preserve"> E$51</f>
        <v xml:space="preserve">Forecast Period Total </v>
      </c>
      <c r="F65" s="12">
        <f xml:space="preserve"> F$51</f>
        <v>5</v>
      </c>
      <c r="G65" s="12" t="str">
        <f xml:space="preserve"> G$51</f>
        <v>columns</v>
      </c>
    </row>
    <row r="66" spans="1:7" s="117" customFormat="1" ht="13">
      <c r="B66" s="122"/>
      <c r="C66" s="123"/>
      <c r="D66" s="125"/>
      <c r="E66" s="5" t="s">
        <v>162</v>
      </c>
      <c r="F66" s="121">
        <f xml:space="preserve"> IF(F63 - SUM(F64:F65) &lt;&gt; 0, 1, 0)</f>
        <v>0</v>
      </c>
      <c r="G66" s="126" t="s">
        <v>163</v>
      </c>
    </row>
    <row r="67" spans="1:7" s="117" customFormat="1">
      <c r="B67" s="122"/>
      <c r="C67" s="123"/>
      <c r="D67" s="125"/>
      <c r="E67" s="5"/>
      <c r="F67"/>
      <c r="G67" s="126"/>
    </row>
    <row r="68" spans="1:7" s="136" customFormat="1" ht="13">
      <c r="A68" s="127" t="s">
        <v>82</v>
      </c>
    </row>
    <row r="69" spans="1:7" s="117" customFormat="1" ht="12.5"/>
    <row r="70" spans="1:7" s="117" customFormat="1" ht="12.5" hidden="1"/>
    <row r="71" spans="1:7" s="117" customFormat="1" ht="12.5" hidden="1"/>
    <row r="72" spans="1:7" s="117" customFormat="1" ht="12.5" hidden="1"/>
    <row r="73" spans="1:7" s="117" customFormat="1" ht="12.5" hidden="1"/>
    <row r="74" spans="1:7" s="117" customFormat="1" ht="12.5" hidden="1"/>
    <row r="75" spans="1:7" s="117" customFormat="1" ht="12.5" hidden="1"/>
    <row r="76" spans="1:7" s="117" customFormat="1" ht="12.5" hidden="1"/>
    <row r="77" spans="1:7" s="117" customFormat="1" ht="12.5" hidden="1"/>
    <row r="78" spans="1:7" s="117" customFormat="1" ht="12.5" hidden="1"/>
    <row r="79" spans="1:7" ht="14.65" hidden="1" customHeight="1"/>
    <row r="80" spans="1:7" ht="14.65" hidden="1" customHeight="1"/>
    <row r="81" ht="14.65" hidden="1" customHeight="1"/>
    <row r="85"/>
    <row r="86"/>
    <row r="87"/>
    <row r="88"/>
  </sheetData>
  <conditionalFormatting sqref="F66">
    <cfRule type="cellIs" dxfId="12" priority="15" stopIfTrue="1" operator="notEqual">
      <formula>0</formula>
    </cfRule>
    <cfRule type="cellIs" dxfId="11" priority="16" stopIfTrue="1" operator="equal">
      <formula>""</formula>
    </cfRule>
  </conditionalFormatting>
  <conditionalFormatting sqref="J3:R3">
    <cfRule type="cellIs" dxfId="10" priority="1" operator="equal">
      <formula>"Post-Fcst"</formula>
    </cfRule>
    <cfRule type="cellIs" dxfId="9" priority="2" operator="equal">
      <formula>"Forecast"</formula>
    </cfRule>
    <cfRule type="cellIs" dxfId="8" priority="3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U308"/>
  <sheetViews>
    <sheetView showGridLines="0" zoomScale="80" zoomScaleNormal="80" workbookViewId="0">
      <pane xSplit="9" ySplit="5" topLeftCell="J8" activePane="bottomRight" state="frozen"/>
      <selection pane="topRight"/>
      <selection pane="bottomLeft"/>
      <selection pane="bottomRight"/>
    </sheetView>
  </sheetViews>
  <sheetFormatPr defaultColWidth="0" defaultRowHeight="14.5" zeroHeight="1"/>
  <cols>
    <col min="1" max="4" width="1.08984375" customWidth="1"/>
    <col min="5" max="5" width="62.08984375" bestFit="1" customWidth="1"/>
    <col min="6" max="6" width="12.36328125" customWidth="1"/>
    <col min="7" max="8" width="11.08984375" customWidth="1"/>
    <col min="9" max="9" width="1.36328125" customWidth="1"/>
    <col min="10" max="17" width="11.81640625" customWidth="1"/>
    <col min="18" max="18" width="12" customWidth="1"/>
    <col min="19" max="16384" width="8.7265625" hidden="1"/>
  </cols>
  <sheetData>
    <row r="1" spans="1:21" s="71" customFormat="1" ht="25">
      <c r="A1" s="70" t="str">
        <f ca="1" xml:space="preserve"> RIGHT(CELL("FILENAME", $A$1), LEN(CELL("FILENAME", $A$1)) - SEARCH("]", CELL("FILENAME", $A$1)))</f>
        <v>Index</v>
      </c>
      <c r="C1" s="72"/>
      <c r="E1" s="73"/>
    </row>
    <row r="2" spans="1:21" s="137" customFormat="1">
      <c r="A2" s="138"/>
      <c r="B2" s="138"/>
      <c r="C2" s="139"/>
      <c r="D2" s="140"/>
      <c r="E2" s="141" t="s">
        <v>164</v>
      </c>
      <c r="F2"/>
      <c r="G2"/>
      <c r="H2" s="141"/>
      <c r="I2" s="140"/>
      <c r="J2" s="142">
        <f xml:space="preserve"> Time!J$21</f>
        <v>42825</v>
      </c>
      <c r="K2" s="142">
        <f xml:space="preserve"> Time!K$21</f>
        <v>43190</v>
      </c>
      <c r="L2" s="142">
        <f xml:space="preserve"> Time!L$21</f>
        <v>43555</v>
      </c>
      <c r="M2" s="142">
        <f xml:space="preserve"> Time!M$21</f>
        <v>43921</v>
      </c>
      <c r="N2" s="142">
        <f xml:space="preserve"> Time!N$21</f>
        <v>44286</v>
      </c>
      <c r="O2" s="142">
        <f xml:space="preserve"> Time!O$21</f>
        <v>44651</v>
      </c>
      <c r="P2" s="142">
        <f xml:space="preserve"> Time!P$21</f>
        <v>45016</v>
      </c>
      <c r="Q2" s="142">
        <f xml:space="preserve"> Time!Q$21</f>
        <v>45382</v>
      </c>
      <c r="R2" s="142">
        <f xml:space="preserve"> Time!R$21</f>
        <v>45747</v>
      </c>
      <c r="S2"/>
      <c r="T2"/>
      <c r="U2"/>
    </row>
    <row r="3" spans="1:21" s="137" customFormat="1">
      <c r="A3" s="138"/>
      <c r="B3" s="138"/>
      <c r="C3" s="139"/>
      <c r="D3" s="140"/>
      <c r="E3" s="141" t="s">
        <v>165</v>
      </c>
      <c r="F3"/>
      <c r="G3"/>
      <c r="H3" s="141"/>
      <c r="I3" s="140"/>
      <c r="J3" s="143" t="str">
        <f xml:space="preserve"> Time!J55</f>
        <v>Pre Fcst</v>
      </c>
      <c r="K3" s="143" t="str">
        <f xml:space="preserve"> Time!K55</f>
        <v>Pre Fcst</v>
      </c>
      <c r="L3" s="143" t="str">
        <f xml:space="preserve"> Time!L55</f>
        <v>Pre Fcst</v>
      </c>
      <c r="M3" s="143" t="str">
        <f xml:space="preserve"> Time!M55</f>
        <v>Pre Fcst</v>
      </c>
      <c r="N3" s="81" t="str">
        <f xml:space="preserve"> Time!N55</f>
        <v>Forecast</v>
      </c>
      <c r="O3" s="81" t="str">
        <f xml:space="preserve"> Time!O55</f>
        <v>Forecast</v>
      </c>
      <c r="P3" s="81" t="str">
        <f xml:space="preserve"> Time!P55</f>
        <v>Forecast</v>
      </c>
      <c r="Q3" s="81" t="str">
        <f xml:space="preserve"> Time!Q55</f>
        <v>Forecast</v>
      </c>
      <c r="R3" s="81" t="str">
        <f xml:space="preserve"> Time!R55</f>
        <v>Forecast</v>
      </c>
      <c r="S3"/>
      <c r="T3"/>
      <c r="U3"/>
    </row>
    <row r="4" spans="1:21" s="137" customFormat="1">
      <c r="A4" s="138"/>
      <c r="B4" s="138"/>
      <c r="C4" s="139"/>
      <c r="D4" s="140"/>
      <c r="E4" s="140" t="s">
        <v>166</v>
      </c>
      <c r="F4" s="144"/>
      <c r="G4" s="144"/>
      <c r="H4" s="141"/>
      <c r="I4" s="140"/>
      <c r="J4" s="145">
        <f xml:space="preserve"> Time!J$29</f>
        <v>2017</v>
      </c>
      <c r="K4" s="145">
        <f xml:space="preserve"> Time!K$29</f>
        <v>2018</v>
      </c>
      <c r="L4" s="145">
        <f xml:space="preserve"> Time!L$29</f>
        <v>2019</v>
      </c>
      <c r="M4" s="145">
        <f xml:space="preserve"> Time!M$29</f>
        <v>2020</v>
      </c>
      <c r="N4" s="145">
        <f xml:space="preserve"> Time!N$29</f>
        <v>2021</v>
      </c>
      <c r="O4" s="145">
        <f xml:space="preserve"> Time!O$29</f>
        <v>2022</v>
      </c>
      <c r="P4" s="145">
        <f xml:space="preserve"> Time!P$29</f>
        <v>2023</v>
      </c>
      <c r="Q4" s="145">
        <f xml:space="preserve"> Time!Q$29</f>
        <v>2024</v>
      </c>
      <c r="R4" s="145">
        <f xml:space="preserve"> Time!R$29</f>
        <v>2025</v>
      </c>
      <c r="S4"/>
      <c r="T4"/>
      <c r="U4"/>
    </row>
    <row r="5" spans="1:21" s="137" customFormat="1">
      <c r="A5" s="138"/>
      <c r="B5" s="138"/>
      <c r="C5" s="139"/>
      <c r="D5" s="140"/>
      <c r="E5" s="140" t="s">
        <v>136</v>
      </c>
      <c r="F5" s="146" t="s">
        <v>96</v>
      </c>
      <c r="G5" s="147" t="s">
        <v>97</v>
      </c>
      <c r="H5" s="146" t="s">
        <v>98</v>
      </c>
      <c r="I5" s="140"/>
      <c r="J5" s="148">
        <f xml:space="preserve"> Time!J$8</f>
        <v>1</v>
      </c>
      <c r="K5" s="148">
        <f xml:space="preserve"> Time!K$8</f>
        <v>2</v>
      </c>
      <c r="L5" s="148">
        <f xml:space="preserve"> Time!L$8</f>
        <v>3</v>
      </c>
      <c r="M5" s="148">
        <f xml:space="preserve"> Time!M$8</f>
        <v>4</v>
      </c>
      <c r="N5" s="148">
        <f xml:space="preserve"> Time!N$8</f>
        <v>5</v>
      </c>
      <c r="O5" s="148">
        <f xml:space="preserve"> Time!O$8</f>
        <v>6</v>
      </c>
      <c r="P5" s="148">
        <f xml:space="preserve"> Time!P$8</f>
        <v>7</v>
      </c>
      <c r="Q5" s="148">
        <f xml:space="preserve"> Time!Q$8</f>
        <v>8</v>
      </c>
      <c r="R5" s="148">
        <f xml:space="preserve"> Time!R$8</f>
        <v>9</v>
      </c>
      <c r="S5"/>
      <c r="T5"/>
      <c r="U5"/>
    </row>
    <row r="6" spans="1:21">
      <c r="A6" s="83"/>
      <c r="B6" s="83"/>
      <c r="C6" s="84"/>
      <c r="D6" s="2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</row>
    <row r="7" spans="1:21" s="168" customFormat="1" ht="15" customHeight="1">
      <c r="A7" s="176" t="s">
        <v>167</v>
      </c>
      <c r="B7" s="176"/>
      <c r="C7" s="177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/>
      <c r="T7"/>
      <c r="U7"/>
    </row>
    <row r="8" spans="1:21">
      <c r="A8" s="83"/>
      <c r="B8" s="83"/>
      <c r="C8" s="84"/>
      <c r="D8" s="2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</row>
    <row r="9" spans="1:21">
      <c r="A9" s="83"/>
      <c r="B9" s="83" t="s">
        <v>168</v>
      </c>
      <c r="C9" s="84"/>
      <c r="D9" s="170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</row>
    <row r="10" spans="1:21">
      <c r="A10" s="83"/>
      <c r="B10" s="83"/>
      <c r="C10" s="84"/>
      <c r="D10" s="170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</row>
    <row r="11" spans="1:21" s="182" customFormat="1">
      <c r="A11" s="179"/>
      <c r="B11" s="179"/>
      <c r="C11" s="180"/>
      <c r="D11" s="181"/>
      <c r="E11" s="169" t="str">
        <f xml:space="preserve"> InputsR!E$35</f>
        <v>Base Consumer price index (including housing costs) for November 2016</v>
      </c>
      <c r="F11" s="169">
        <f xml:space="preserve"> InputsR!F$35</f>
        <v>101.8</v>
      </c>
      <c r="G11" s="169" t="str">
        <f xml:space="preserve"> InputsR!G$35</f>
        <v>index</v>
      </c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/>
      <c r="T11"/>
      <c r="U11"/>
    </row>
    <row r="12" spans="1:21" s="182" customFormat="1">
      <c r="A12" s="179"/>
      <c r="B12" s="179"/>
      <c r="C12" s="180"/>
      <c r="D12" s="181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/>
      <c r="T12"/>
      <c r="U12"/>
    </row>
    <row r="13" spans="1:21">
      <c r="A13" s="83"/>
      <c r="B13" s="83"/>
      <c r="C13" s="84"/>
      <c r="D13" s="27"/>
      <c r="E13" s="169" t="str">
        <f xml:space="preserve"> InputsR!E$33</f>
        <v>Consumer price index (including housing costs) for November</v>
      </c>
      <c r="F13" s="169">
        <f xml:space="preserve"> InputsR!F$33</f>
        <v>0</v>
      </c>
      <c r="G13" s="169" t="str">
        <f xml:space="preserve"> InputsR!G$33</f>
        <v>index</v>
      </c>
      <c r="H13" s="169">
        <f xml:space="preserve"> InputsR!H$33</f>
        <v>0</v>
      </c>
      <c r="I13" s="169">
        <f xml:space="preserve"> InputsR!I$33</f>
        <v>0</v>
      </c>
      <c r="J13" s="169">
        <f xml:space="preserve"> InputsR!J$33</f>
        <v>101.8</v>
      </c>
      <c r="K13" s="169">
        <f xml:space="preserve"> InputsR!K$33</f>
        <v>104.7</v>
      </c>
      <c r="L13" s="169">
        <f xml:space="preserve"> InputsR!L$33</f>
        <v>106.9</v>
      </c>
      <c r="M13" s="169">
        <f xml:space="preserve"> InputsR!M$33</f>
        <v>108.5</v>
      </c>
      <c r="N13" s="169">
        <f xml:space="preserve"> InputsR!N$33</f>
        <v>109.1</v>
      </c>
      <c r="O13" s="169">
        <f xml:space="preserve"> InputsR!O$33</f>
        <v>114.1</v>
      </c>
      <c r="P13" s="169">
        <f xml:space="preserve"> InputsR!P$33</f>
        <v>124.8</v>
      </c>
      <c r="Q13" s="169">
        <f xml:space="preserve"> InputsR!Q$33</f>
        <v>130</v>
      </c>
      <c r="R13" s="169">
        <f xml:space="preserve"> InputsR!R$33</f>
        <v>0</v>
      </c>
    </row>
    <row r="14" spans="1:21">
      <c r="A14" s="83"/>
      <c r="B14" s="83"/>
      <c r="C14" s="84"/>
      <c r="D14" s="27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</row>
    <row r="15" spans="1:21">
      <c r="A15" s="83"/>
      <c r="B15" s="83"/>
      <c r="C15" s="84"/>
      <c r="D15" s="27"/>
      <c r="E15" s="169" t="str">
        <f xml:space="preserve"> InputsR!E$37</f>
        <v>CPIH Nov-Nov % change - Base case</v>
      </c>
      <c r="F15" s="193">
        <f xml:space="preserve"> InputsR!F$37</f>
        <v>0.02</v>
      </c>
      <c r="G15" s="193">
        <f xml:space="preserve"> InputsR!G$37</f>
        <v>0</v>
      </c>
      <c r="H15" s="193">
        <f xml:space="preserve"> InputsR!H$37</f>
        <v>0</v>
      </c>
      <c r="I15" s="193">
        <f xml:space="preserve"> InputsR!I$37</f>
        <v>0</v>
      </c>
      <c r="J15" s="193">
        <f xml:space="preserve"> InputsR!J$37</f>
        <v>0</v>
      </c>
      <c r="K15" s="193">
        <f xml:space="preserve"> InputsR!K$37</f>
        <v>0</v>
      </c>
      <c r="L15" s="193">
        <f xml:space="preserve"> InputsR!L$37</f>
        <v>0</v>
      </c>
      <c r="M15" s="193">
        <f xml:space="preserve"> InputsR!M$37</f>
        <v>0</v>
      </c>
      <c r="N15" s="193">
        <f xml:space="preserve"> InputsR!N$37</f>
        <v>0</v>
      </c>
      <c r="O15" s="193">
        <f xml:space="preserve"> InputsR!O$37</f>
        <v>0</v>
      </c>
      <c r="P15" s="193">
        <f xml:space="preserve"> InputsR!P$37</f>
        <v>0</v>
      </c>
      <c r="Q15" s="193">
        <f xml:space="preserve"> InputsR!Q$37</f>
        <v>0</v>
      </c>
      <c r="R15" s="193">
        <f xml:space="preserve"> InputsR!R$37</f>
        <v>0</v>
      </c>
    </row>
    <row r="16" spans="1:21">
      <c r="A16" s="83"/>
      <c r="B16" s="83"/>
      <c r="C16" s="84"/>
      <c r="D16" s="27"/>
      <c r="E16" s="169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</row>
    <row r="17" spans="1:21">
      <c r="A17" s="83"/>
      <c r="B17" s="83"/>
      <c r="C17" s="84"/>
      <c r="D17" s="27"/>
      <c r="E17" s="117" t="s">
        <v>169</v>
      </c>
      <c r="F17" s="117"/>
      <c r="G17" s="117" t="s">
        <v>117</v>
      </c>
      <c r="H17" s="117"/>
      <c r="I17" s="136"/>
      <c r="J17" s="259">
        <f xml:space="preserve"> IF( J13 &gt; 0, J13, I17 * (1 + $F$15))</f>
        <v>101.8</v>
      </c>
      <c r="K17" s="259">
        <f t="shared" ref="K17:R17" si="0" xml:space="preserve"> IF( K13 &gt; 0, K13, J17 * (1 + $F$15))</f>
        <v>104.7</v>
      </c>
      <c r="L17" s="259">
        <f t="shared" si="0"/>
        <v>106.9</v>
      </c>
      <c r="M17" s="259">
        <f xml:space="preserve"> IF( M13 &gt; 0, M13, L17 * (1 + $F$15))</f>
        <v>108.5</v>
      </c>
      <c r="N17" s="259">
        <f t="shared" si="0"/>
        <v>109.1</v>
      </c>
      <c r="O17" s="259">
        <f t="shared" si="0"/>
        <v>114.1</v>
      </c>
      <c r="P17" s="259">
        <f t="shared" si="0"/>
        <v>124.8</v>
      </c>
      <c r="Q17" s="259">
        <f t="shared" si="0"/>
        <v>130</v>
      </c>
      <c r="R17" s="259">
        <f t="shared" si="0"/>
        <v>132.6</v>
      </c>
    </row>
    <row r="18" spans="1:21" ht="12.75" customHeight="1">
      <c r="A18" s="83"/>
      <c r="B18" s="83"/>
      <c r="C18" s="84"/>
      <c r="D18" s="27"/>
      <c r="E18" s="27"/>
      <c r="F18" s="27"/>
      <c r="G18" s="27"/>
      <c r="H18" s="27"/>
      <c r="I18" s="27"/>
      <c r="J18" s="27"/>
      <c r="K18" s="174"/>
      <c r="L18" s="174"/>
      <c r="M18" s="174"/>
      <c r="N18" s="174"/>
      <c r="O18" s="174"/>
      <c r="P18" s="174"/>
      <c r="Q18" s="174"/>
      <c r="R18" s="174"/>
    </row>
    <row r="19" spans="1:21" s="299" customFormat="1">
      <c r="A19" s="103"/>
      <c r="B19" s="103" t="s">
        <v>170</v>
      </c>
      <c r="C19" s="104"/>
      <c r="D19" s="126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  <row r="20" spans="1:21">
      <c r="A20" s="83"/>
      <c r="B20" s="83"/>
      <c r="C20" s="84"/>
      <c r="D20" s="2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</row>
    <row r="21" spans="1:21">
      <c r="A21" s="83"/>
      <c r="B21" s="83"/>
      <c r="C21" s="84"/>
      <c r="D21" s="170"/>
      <c r="E21" s="169" t="str">
        <f xml:space="preserve"> E$11</f>
        <v>Base Consumer price index (including housing costs) for November 2016</v>
      </c>
      <c r="F21" s="169">
        <f xml:space="preserve"> F$11</f>
        <v>101.8</v>
      </c>
      <c r="G21" s="169" t="str">
        <f xml:space="preserve"> G$11</f>
        <v>index</v>
      </c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</row>
    <row r="22" spans="1:21">
      <c r="A22" s="83"/>
      <c r="B22" s="83"/>
      <c r="C22" s="84"/>
      <c r="D22" s="27"/>
      <c r="E22" s="260" t="str">
        <f xml:space="preserve"> E$17</f>
        <v>CPIH: November - index</v>
      </c>
      <c r="F22" s="260">
        <f t="shared" ref="F22:R22" si="1" xml:space="preserve"> F$17</f>
        <v>0</v>
      </c>
      <c r="G22" s="260" t="str">
        <f t="shared" si="1"/>
        <v>index</v>
      </c>
      <c r="H22" s="260">
        <f t="shared" si="1"/>
        <v>0</v>
      </c>
      <c r="I22" s="260">
        <f t="shared" si="1"/>
        <v>0</v>
      </c>
      <c r="J22" s="260">
        <f xml:space="preserve"> J$17</f>
        <v>101.8</v>
      </c>
      <c r="K22" s="260">
        <f t="shared" si="1"/>
        <v>104.7</v>
      </c>
      <c r="L22" s="260">
        <f t="shared" si="1"/>
        <v>106.9</v>
      </c>
      <c r="M22" s="260">
        <f t="shared" si="1"/>
        <v>108.5</v>
      </c>
      <c r="N22" s="260">
        <f t="shared" si="1"/>
        <v>109.1</v>
      </c>
      <c r="O22" s="260">
        <f t="shared" si="1"/>
        <v>114.1</v>
      </c>
      <c r="P22" s="260">
        <f t="shared" si="1"/>
        <v>124.8</v>
      </c>
      <c r="Q22" s="260">
        <f t="shared" si="1"/>
        <v>130</v>
      </c>
      <c r="R22" s="260">
        <f t="shared" si="1"/>
        <v>132.6</v>
      </c>
    </row>
    <row r="23" spans="1:21" s="150" customFormat="1">
      <c r="A23" s="184"/>
      <c r="B23" s="184"/>
      <c r="C23" s="185"/>
      <c r="E23" s="183" t="s">
        <v>171</v>
      </c>
      <c r="F23" s="183"/>
      <c r="G23" s="183" t="s">
        <v>111</v>
      </c>
      <c r="H23" s="183"/>
      <c r="I23" s="183"/>
      <c r="J23" s="171">
        <f t="shared" ref="J23:R23" si="2" xml:space="preserve"> IF($F21 &lt;&gt; 0, I22 / $F21, 0)</f>
        <v>0</v>
      </c>
      <c r="K23" s="171">
        <f xml:space="preserve"> IF($F21 &lt;&gt; 0, J22 / $F21, 0)</f>
        <v>1</v>
      </c>
      <c r="L23" s="171">
        <f t="shared" si="2"/>
        <v>1.0284872298624754</v>
      </c>
      <c r="M23" s="171">
        <f t="shared" si="2"/>
        <v>1.0500982318271121</v>
      </c>
      <c r="N23" s="171">
        <f t="shared" si="2"/>
        <v>1.0658153241650294</v>
      </c>
      <c r="O23" s="171">
        <f t="shared" si="2"/>
        <v>1.0717092337917484</v>
      </c>
      <c r="P23" s="171">
        <f t="shared" si="2"/>
        <v>1.1208251473477406</v>
      </c>
      <c r="Q23" s="171">
        <f t="shared" si="2"/>
        <v>1.2259332023575638</v>
      </c>
      <c r="R23" s="171">
        <f t="shared" si="2"/>
        <v>1.2770137524557956</v>
      </c>
      <c r="S23"/>
      <c r="T23"/>
      <c r="U23"/>
    </row>
    <row r="24" spans="1:21" s="166" customFormat="1">
      <c r="A24" s="164"/>
      <c r="B24" s="164"/>
      <c r="C24" s="165"/>
      <c r="E24" s="172"/>
      <c r="F24" s="172"/>
      <c r="G24" s="172"/>
      <c r="H24" s="172"/>
      <c r="I24" s="172"/>
      <c r="J24" s="162"/>
      <c r="K24" s="162"/>
      <c r="L24" s="162"/>
      <c r="M24" s="162"/>
      <c r="N24" s="162"/>
      <c r="O24" s="162"/>
      <c r="P24" s="162"/>
      <c r="Q24" s="162"/>
      <c r="R24" s="162"/>
      <c r="S24"/>
      <c r="T24"/>
      <c r="U24"/>
    </row>
    <row r="25" spans="1:21" s="166" customFormat="1">
      <c r="A25" s="164"/>
      <c r="B25" s="164"/>
      <c r="C25" s="165"/>
      <c r="E25" s="172" t="str">
        <f xml:space="preserve"> E$23</f>
        <v>CPIH Nov-Nov indexation factor - CALC</v>
      </c>
      <c r="F25" s="172">
        <f t="shared" ref="F25:R25" si="3" xml:space="preserve"> F$23</f>
        <v>0</v>
      </c>
      <c r="G25" s="172" t="str">
        <f t="shared" si="3"/>
        <v>%</v>
      </c>
      <c r="H25" s="172">
        <f t="shared" si="3"/>
        <v>0</v>
      </c>
      <c r="I25" s="172">
        <f t="shared" si="3"/>
        <v>0</v>
      </c>
      <c r="J25" s="162">
        <f t="shared" si="3"/>
        <v>0</v>
      </c>
      <c r="K25" s="162">
        <f t="shared" si="3"/>
        <v>1</v>
      </c>
      <c r="L25" s="162">
        <f t="shared" si="3"/>
        <v>1.0284872298624754</v>
      </c>
      <c r="M25" s="162">
        <f t="shared" si="3"/>
        <v>1.0500982318271121</v>
      </c>
      <c r="N25" s="162">
        <f t="shared" si="3"/>
        <v>1.0658153241650294</v>
      </c>
      <c r="O25" s="162">
        <f t="shared" si="3"/>
        <v>1.0717092337917484</v>
      </c>
      <c r="P25" s="162">
        <f t="shared" si="3"/>
        <v>1.1208251473477406</v>
      </c>
      <c r="Q25" s="162">
        <f t="shared" si="3"/>
        <v>1.2259332023575638</v>
      </c>
      <c r="R25" s="162">
        <f t="shared" si="3"/>
        <v>1.2770137524557956</v>
      </c>
      <c r="S25"/>
      <c r="T25"/>
      <c r="U25"/>
    </row>
    <row r="26" spans="1:21" s="166" customFormat="1">
      <c r="A26" s="164"/>
      <c r="B26" s="164"/>
      <c r="C26" s="165"/>
      <c r="E26" s="183" t="s">
        <v>172</v>
      </c>
      <c r="F26" s="183"/>
      <c r="G26" s="183"/>
      <c r="H26" s="183"/>
      <c r="I26" s="183"/>
      <c r="J26" s="171">
        <f xml:space="preserve"> IF(I25 &gt; 0, J25 / I25, 0)</f>
        <v>0</v>
      </c>
      <c r="K26" s="171">
        <f t="shared" ref="K26:R26" si="4" xml:space="preserve"> IF(J25 &gt; 0, K25 / J25, 0)</f>
        <v>0</v>
      </c>
      <c r="L26" s="171">
        <f t="shared" si="4"/>
        <v>1.0284872298624754</v>
      </c>
      <c r="M26" s="171">
        <f t="shared" si="4"/>
        <v>1.0210124164278893</v>
      </c>
      <c r="N26" s="171">
        <f xml:space="preserve"> IF(M25 &gt; 0, N25 / M25, 0)</f>
        <v>1.0149672591206733</v>
      </c>
      <c r="O26" s="171">
        <f t="shared" si="4"/>
        <v>1.0055299539170506</v>
      </c>
      <c r="P26" s="171">
        <f t="shared" si="4"/>
        <v>1.0458295142071494</v>
      </c>
      <c r="Q26" s="171">
        <f t="shared" si="4"/>
        <v>1.0937773882559159</v>
      </c>
      <c r="R26" s="171">
        <f t="shared" si="4"/>
        <v>1.0416666666666667</v>
      </c>
      <c r="S26"/>
      <c r="T26"/>
      <c r="U26"/>
    </row>
    <row r="27" spans="1:21" s="166" customFormat="1">
      <c r="A27" s="164"/>
      <c r="B27" s="164"/>
      <c r="C27" s="165"/>
      <c r="E27" s="183"/>
      <c r="F27" s="183"/>
      <c r="G27" s="183"/>
      <c r="H27" s="183"/>
      <c r="I27" s="183"/>
      <c r="J27" s="171"/>
      <c r="K27" s="171"/>
      <c r="L27" s="171"/>
      <c r="M27" s="171"/>
      <c r="N27" s="171"/>
      <c r="O27" s="171"/>
      <c r="P27" s="171"/>
      <c r="Q27" s="171"/>
      <c r="R27" s="171"/>
      <c r="S27"/>
      <c r="T27"/>
      <c r="U27"/>
    </row>
    <row r="28" spans="1:21" s="152" customFormat="1">
      <c r="A28" s="127" t="s">
        <v>173</v>
      </c>
      <c r="B28" s="127"/>
      <c r="C28" s="128"/>
      <c r="D28" s="151"/>
      <c r="E28" s="128"/>
      <c r="F28" s="129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/>
      <c r="T28"/>
      <c r="U28"/>
    </row>
    <row r="29" spans="1:21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</row>
    <row r="30" spans="1:21" hidden="1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</row>
    <row r="31" spans="1:21" hidden="1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</row>
    <row r="32" spans="1:21" hidden="1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</row>
    <row r="33" spans="1:16" hidden="1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</row>
    <row r="34" spans="1:16" hidden="1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</row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</sheetData>
  <conditionalFormatting sqref="J3:M3">
    <cfRule type="cellIs" dxfId="7" priority="31" stopIfTrue="1" operator="equal">
      <formula>#REF!</formula>
    </cfRule>
    <cfRule type="cellIs" dxfId="6" priority="3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outlinePr summaryBelow="0"/>
    <pageSetUpPr fitToPage="1"/>
  </sheetPr>
  <dimension ref="A1:R1257"/>
  <sheetViews>
    <sheetView showGridLines="0" zoomScale="80" zoomScaleNormal="80" workbookViewId="0">
      <pane xSplit="9" ySplit="5" topLeftCell="O23" activePane="bottomRight" state="frozen"/>
      <selection pane="topRight"/>
      <selection pane="bottomLeft"/>
      <selection pane="bottomRight" activeCell="R32" sqref="R32"/>
    </sheetView>
  </sheetViews>
  <sheetFormatPr defaultColWidth="0" defaultRowHeight="14.5" zeroHeight="1" outlineLevelRow="1"/>
  <cols>
    <col min="1" max="1" width="1.08984375" style="10" customWidth="1"/>
    <col min="2" max="2" width="1.08984375" style="2" customWidth="1"/>
    <col min="3" max="3" width="1.08984375" style="3" customWidth="1"/>
    <col min="4" max="4" width="1.08984375" style="11" customWidth="1"/>
    <col min="5" max="5" width="87.6328125" style="12" bestFit="1" customWidth="1"/>
    <col min="6" max="6" width="14.08984375" style="12" customWidth="1"/>
    <col min="7" max="7" width="11.08984375" style="12" customWidth="1"/>
    <col min="8" max="8" width="12.6328125" style="12" customWidth="1"/>
    <col min="9" max="9" width="1.36328125" style="12" customWidth="1"/>
    <col min="10" max="16" width="12.36328125" style="12" customWidth="1"/>
    <col min="17" max="18" width="12.36328125" style="189" customWidth="1"/>
  </cols>
  <sheetData>
    <row r="1" spans="1:18" ht="25">
      <c r="A1" s="70" t="str">
        <f ca="1" xml:space="preserve"> RIGHT(CELL("filename", A1), LEN(CELL("filename", A1)) - SEARCH("]", CELL("filename", A1)))</f>
        <v>Calc</v>
      </c>
      <c r="B1" s="71"/>
      <c r="C1" s="72"/>
      <c r="D1" s="71"/>
      <c r="E1" s="73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>
      <c r="A2" s="7"/>
      <c r="B2" s="7"/>
      <c r="C2" s="8"/>
      <c r="D2" s="9"/>
      <c r="E2" s="117" t="str">
        <f xml:space="preserve"> Time!E$2</f>
        <v>Model Period Ending</v>
      </c>
      <c r="F2"/>
      <c r="G2"/>
      <c r="H2"/>
      <c r="I2" s="117"/>
      <c r="J2" s="350">
        <f xml:space="preserve"> Time!J$21</f>
        <v>42825</v>
      </c>
      <c r="K2" s="350">
        <f xml:space="preserve"> Time!K$21</f>
        <v>43190</v>
      </c>
      <c r="L2" s="350">
        <f xml:space="preserve"> Time!L$21</f>
        <v>43555</v>
      </c>
      <c r="M2" s="350">
        <f xml:space="preserve"> Time!M$21</f>
        <v>43921</v>
      </c>
      <c r="N2" s="350">
        <f xml:space="preserve"> Time!N$21</f>
        <v>44286</v>
      </c>
      <c r="O2" s="350">
        <f xml:space="preserve"> Time!O$21</f>
        <v>44651</v>
      </c>
      <c r="P2" s="350">
        <f xml:space="preserve"> Time!P$21</f>
        <v>45016</v>
      </c>
      <c r="Q2" s="350">
        <f xml:space="preserve"> Time!Q$21</f>
        <v>45382</v>
      </c>
      <c r="R2" s="350">
        <f xml:space="preserve"> Time!R$21</f>
        <v>45747</v>
      </c>
    </row>
    <row r="3" spans="1:18">
      <c r="E3" s="117" t="str">
        <f xml:space="preserve"> Time!E$3</f>
        <v>Pre Forecast vs Forecast</v>
      </c>
      <c r="F3" s="347"/>
      <c r="G3" s="347"/>
      <c r="H3"/>
      <c r="I3" s="117"/>
      <c r="J3" s="347" t="str">
        <f xml:space="preserve"> Time!J55</f>
        <v>Pre Fcst</v>
      </c>
      <c r="K3" s="347" t="str">
        <f xml:space="preserve"> Time!K55</f>
        <v>Pre Fcst</v>
      </c>
      <c r="L3" s="347" t="str">
        <f xml:space="preserve"> Time!L55</f>
        <v>Pre Fcst</v>
      </c>
      <c r="M3" s="347" t="str">
        <f xml:space="preserve"> Time!M55</f>
        <v>Pre Fcst</v>
      </c>
      <c r="N3" s="347" t="str">
        <f xml:space="preserve"> Time!N55</f>
        <v>Forecast</v>
      </c>
      <c r="O3" s="347" t="str">
        <f xml:space="preserve"> Time!O55</f>
        <v>Forecast</v>
      </c>
      <c r="P3" s="347" t="str">
        <f xml:space="preserve"> Time!P55</f>
        <v>Forecast</v>
      </c>
      <c r="Q3" s="347" t="str">
        <f xml:space="preserve"> Time!Q55</f>
        <v>Forecast</v>
      </c>
      <c r="R3" s="347" t="str">
        <f xml:space="preserve"> Time!R55</f>
        <v>Forecast</v>
      </c>
    </row>
    <row r="4" spans="1:18">
      <c r="A4" s="6"/>
      <c r="B4" s="6"/>
      <c r="C4" s="6"/>
      <c r="D4" s="13"/>
      <c r="E4" s="117" t="str">
        <f xml:space="preserve"> Time!E$4</f>
        <v>Financial Year Ending</v>
      </c>
      <c r="F4" s="117"/>
      <c r="G4" s="117"/>
      <c r="H4"/>
      <c r="I4" s="117"/>
      <c r="J4" s="145">
        <f xml:space="preserve"> Time!J$29</f>
        <v>2017</v>
      </c>
      <c r="K4" s="145">
        <f xml:space="preserve"> Time!K$29</f>
        <v>2018</v>
      </c>
      <c r="L4" s="145">
        <f xml:space="preserve"> Time!L$29</f>
        <v>2019</v>
      </c>
      <c r="M4" s="145">
        <f xml:space="preserve"> Time!M$29</f>
        <v>2020</v>
      </c>
      <c r="N4" s="145">
        <f xml:space="preserve"> Time!N$29</f>
        <v>2021</v>
      </c>
      <c r="O4" s="145">
        <f xml:space="preserve"> Time!O$29</f>
        <v>2022</v>
      </c>
      <c r="P4" s="145">
        <f xml:space="preserve"> Time!P$29</f>
        <v>2023</v>
      </c>
      <c r="Q4" s="145">
        <f xml:space="preserve"> Time!Q$29</f>
        <v>2024</v>
      </c>
      <c r="R4" s="145">
        <f xml:space="preserve"> Time!R$29</f>
        <v>2025</v>
      </c>
    </row>
    <row r="5" spans="1:18">
      <c r="A5" s="14"/>
      <c r="B5" s="14"/>
      <c r="C5" s="6"/>
      <c r="D5" s="13"/>
      <c r="E5" s="117" t="str">
        <f xml:space="preserve"> Time!E$5</f>
        <v>Model column counter</v>
      </c>
      <c r="F5" s="20" t="s">
        <v>96</v>
      </c>
      <c r="G5" s="2" t="s">
        <v>97</v>
      </c>
      <c r="H5" s="20" t="s">
        <v>98</v>
      </c>
      <c r="I5" s="111"/>
      <c r="J5" s="148">
        <f xml:space="preserve"> Time!J$8</f>
        <v>1</v>
      </c>
      <c r="K5" s="148">
        <f xml:space="preserve"> Time!K$8</f>
        <v>2</v>
      </c>
      <c r="L5" s="148">
        <f xml:space="preserve"> Time!L$8</f>
        <v>3</v>
      </c>
      <c r="M5" s="148">
        <f xml:space="preserve"> Time!M$8</f>
        <v>4</v>
      </c>
      <c r="N5" s="148">
        <f xml:space="preserve"> Time!N$8</f>
        <v>5</v>
      </c>
      <c r="O5" s="148">
        <f xml:space="preserve"> Time!O$8</f>
        <v>6</v>
      </c>
      <c r="P5" s="148">
        <f xml:space="preserve"> Time!P$8</f>
        <v>7</v>
      </c>
      <c r="Q5" s="148">
        <f xml:space="preserve"> Time!Q$8</f>
        <v>8</v>
      </c>
      <c r="R5" s="148">
        <f xml:space="preserve"> Time!R$8</f>
        <v>9</v>
      </c>
    </row>
    <row r="6" spans="1:18">
      <c r="A6" s="14"/>
      <c r="B6" s="14"/>
      <c r="C6" s="6"/>
      <c r="D6" s="13"/>
      <c r="E6" s="117"/>
      <c r="F6" s="20"/>
      <c r="G6" s="2"/>
      <c r="H6" s="20"/>
      <c r="I6" s="111"/>
      <c r="J6" s="148"/>
      <c r="K6" s="148"/>
      <c r="L6" s="148"/>
      <c r="M6" s="148"/>
      <c r="N6" s="148"/>
      <c r="O6" s="148"/>
      <c r="P6" s="148"/>
      <c r="Q6" s="148"/>
      <c r="R6" s="148"/>
    </row>
    <row r="7" spans="1:18">
      <c r="A7" s="80" t="s">
        <v>174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18" s="289" customFormat="1" outlineLevel="1">
      <c r="A8" s="155"/>
      <c r="B8" s="155"/>
      <c r="C8" s="156"/>
      <c r="D8" s="159"/>
      <c r="E8" s="157"/>
      <c r="F8" s="157"/>
      <c r="G8" s="157"/>
      <c r="H8" s="190"/>
      <c r="I8" s="157"/>
      <c r="J8" s="190"/>
      <c r="K8" s="190"/>
      <c r="L8" s="190"/>
      <c r="M8" s="190"/>
      <c r="N8" s="190"/>
      <c r="O8" s="190"/>
      <c r="P8" s="190"/>
      <c r="Q8" s="190"/>
      <c r="R8" s="190"/>
    </row>
    <row r="9" spans="1:18" s="289" customFormat="1" outlineLevel="1">
      <c r="A9" s="155"/>
      <c r="B9" s="155"/>
      <c r="C9" s="156"/>
      <c r="D9" s="159"/>
      <c r="E9" s="302" t="str">
        <f xml:space="preserve"> InputsR!E$11</f>
        <v>Actual volume of sludge (ATDS)</v>
      </c>
      <c r="F9" s="302">
        <f xml:space="preserve"> InputsR!F$11</f>
        <v>0</v>
      </c>
      <c r="G9" s="302" t="str">
        <f xml:space="preserve"> InputsR!G$11</f>
        <v>ttds</v>
      </c>
      <c r="H9" s="302">
        <f xml:space="preserve"> InputsR!H$11</f>
        <v>355</v>
      </c>
      <c r="I9" s="302">
        <f xml:space="preserve"> InputsR!I$11</f>
        <v>0</v>
      </c>
      <c r="J9" s="302">
        <f xml:space="preserve"> InputsR!J$11</f>
        <v>0</v>
      </c>
      <c r="K9" s="302">
        <f xml:space="preserve"> InputsR!K$11</f>
        <v>0</v>
      </c>
      <c r="L9" s="302">
        <f xml:space="preserve"> InputsR!L$11</f>
        <v>0</v>
      </c>
      <c r="M9" s="302">
        <f xml:space="preserve"> InputsR!M$11</f>
        <v>0</v>
      </c>
      <c r="N9" s="302">
        <f xml:space="preserve"> InputsR!N$11</f>
        <v>70</v>
      </c>
      <c r="O9" s="302">
        <f xml:space="preserve"> InputsR!O$11</f>
        <v>73.5</v>
      </c>
      <c r="P9" s="302">
        <f xml:space="preserve"> InputsR!P$11</f>
        <v>69.8</v>
      </c>
      <c r="Q9" s="302">
        <f xml:space="preserve"> InputsR!Q$11</f>
        <v>71.099999999999994</v>
      </c>
      <c r="R9" s="302">
        <f xml:space="preserve"> InputsR!R$11</f>
        <v>70.599999999999994</v>
      </c>
    </row>
    <row r="10" spans="1:18" outlineLevel="1">
      <c r="A10" s="155"/>
      <c r="B10" s="155"/>
      <c r="C10" s="156"/>
      <c r="D10" s="159"/>
      <c r="E10" s="15" t="str">
        <f xml:space="preserve"> InputsC!E$23</f>
        <v>Units in a thousand</v>
      </c>
      <c r="F10" s="18">
        <f xml:space="preserve"> InputsC!F$23</f>
        <v>1000</v>
      </c>
      <c r="G10" s="15" t="str">
        <f xml:space="preserve"> InputsC!G$23</f>
        <v>unit</v>
      </c>
      <c r="H10" s="15">
        <f xml:space="preserve"> InputsC!H$23</f>
        <v>0</v>
      </c>
      <c r="I10" s="15">
        <f xml:space="preserve"> InputsC!I$23</f>
        <v>0</v>
      </c>
      <c r="J10" s="15">
        <f xml:space="preserve"> InputsC!J$23</f>
        <v>0</v>
      </c>
      <c r="K10" s="15">
        <f xml:space="preserve"> InputsC!K$23</f>
        <v>0</v>
      </c>
      <c r="L10" s="15">
        <f xml:space="preserve"> InputsC!L$23</f>
        <v>0</v>
      </c>
      <c r="M10" s="15">
        <f xml:space="preserve"> InputsC!M$23</f>
        <v>0</v>
      </c>
      <c r="N10" s="15">
        <f xml:space="preserve"> InputsC!N$23</f>
        <v>0</v>
      </c>
      <c r="O10" s="15">
        <f xml:space="preserve"> InputsC!O$23</f>
        <v>0</v>
      </c>
      <c r="P10" s="15">
        <f xml:space="preserve"> InputsC!P$23</f>
        <v>0</v>
      </c>
      <c r="Q10" s="15">
        <f xml:space="preserve"> InputsC!Q$23</f>
        <v>0</v>
      </c>
      <c r="R10" s="15">
        <f xml:space="preserve"> InputsC!R$23</f>
        <v>0</v>
      </c>
    </row>
    <row r="11" spans="1:18" s="300" customFormat="1" ht="14" outlineLevel="1">
      <c r="A11" s="155"/>
      <c r="B11" s="155"/>
      <c r="C11" s="156"/>
      <c r="D11" s="159"/>
      <c r="E11" s="157" t="s">
        <v>101</v>
      </c>
      <c r="F11" s="15"/>
      <c r="G11" s="157" t="s">
        <v>80</v>
      </c>
      <c r="H11" s="190">
        <f xml:space="preserve"> SUM( J11:R11 )</f>
        <v>355000</v>
      </c>
      <c r="I11" s="157"/>
      <c r="J11" s="190">
        <f xml:space="preserve"> J9 * $F$10</f>
        <v>0</v>
      </c>
      <c r="K11" s="190">
        <f t="shared" ref="K11:R11" si="0" xml:space="preserve"> K9 * $F$10</f>
        <v>0</v>
      </c>
      <c r="L11" s="190">
        <f t="shared" si="0"/>
        <v>0</v>
      </c>
      <c r="M11" s="190">
        <f t="shared" si="0"/>
        <v>0</v>
      </c>
      <c r="N11" s="190">
        <f t="shared" si="0"/>
        <v>70000</v>
      </c>
      <c r="O11" s="190">
        <f t="shared" si="0"/>
        <v>73500</v>
      </c>
      <c r="P11" s="190">
        <f t="shared" si="0"/>
        <v>69800</v>
      </c>
      <c r="Q11" s="190">
        <f t="shared" si="0"/>
        <v>71100</v>
      </c>
      <c r="R11" s="190">
        <f t="shared" si="0"/>
        <v>70600</v>
      </c>
    </row>
    <row r="12" spans="1:18" s="300" customFormat="1" ht="14" outlineLevel="1">
      <c r="A12" s="155"/>
      <c r="B12" s="155"/>
      <c r="C12" s="156"/>
      <c r="D12" s="159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300" customFormat="1" ht="14" outlineLevel="1">
      <c r="A13" s="155"/>
      <c r="B13" s="155"/>
      <c r="C13" s="156"/>
      <c r="D13" s="159"/>
      <c r="E13" s="15" t="str">
        <f xml:space="preserve"> InputsC!E$21</f>
        <v>Units in a million</v>
      </c>
      <c r="F13" s="302">
        <f xml:space="preserve"> InputsC!F$21</f>
        <v>1000000</v>
      </c>
      <c r="G13" s="302" t="str">
        <f xml:space="preserve"> InputsC!G$21</f>
        <v>unit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s="308" customFormat="1" ht="14" outlineLevel="1">
      <c r="A14" s="2"/>
      <c r="B14" s="2"/>
      <c r="C14" s="3"/>
      <c r="D14" s="4"/>
      <c r="E14" s="301" t="str">
        <f xml:space="preserve"> InputsR!E$19</f>
        <v>Revised unadjusted revenue (URt) - 2017-18 FYA (CPIH deflated)</v>
      </c>
      <c r="F14" s="302">
        <f xml:space="preserve"> InputsR!F$19</f>
        <v>0</v>
      </c>
      <c r="G14" s="302" t="str">
        <f xml:space="preserve"> InputsR!G$19</f>
        <v>£m</v>
      </c>
      <c r="H14" s="303">
        <f xml:space="preserve"> InputsR!H$19</f>
        <v>113.38557475325786</v>
      </c>
      <c r="I14" s="302">
        <f xml:space="preserve"> InputsR!I$19</f>
        <v>0</v>
      </c>
      <c r="J14" s="302">
        <f xml:space="preserve"> InputsR!J$19</f>
        <v>0</v>
      </c>
      <c r="K14" s="302">
        <f xml:space="preserve"> InputsR!K$19</f>
        <v>0</v>
      </c>
      <c r="L14" s="302">
        <f xml:space="preserve"> InputsR!L$19</f>
        <v>0</v>
      </c>
      <c r="M14" s="302">
        <f xml:space="preserve"> InputsR!M$19</f>
        <v>0</v>
      </c>
      <c r="N14" s="303">
        <f xml:space="preserve"> InputsR!N$19</f>
        <v>20.513658716927772</v>
      </c>
      <c r="O14" s="303">
        <f xml:space="preserve"> InputsR!O$19</f>
        <v>20.739393613400154</v>
      </c>
      <c r="P14" s="303">
        <f xml:space="preserve"> InputsR!P$19</f>
        <v>23.657561508748501</v>
      </c>
      <c r="Q14" s="303">
        <f xml:space="preserve"> InputsR!Q$19</f>
        <v>24.135191729499699</v>
      </c>
      <c r="R14" s="303">
        <f xml:space="preserve"> InputsR!R$19</f>
        <v>24.339769184681732</v>
      </c>
    </row>
    <row r="15" spans="1:18" s="308" customFormat="1" ht="14" outlineLevel="1">
      <c r="A15" s="2"/>
      <c r="B15" s="2"/>
      <c r="C15" s="3"/>
      <c r="D15" s="4"/>
      <c r="E15" s="5" t="str">
        <f t="shared" ref="E15:R15" si="1" xml:space="preserve"> E$11</f>
        <v>Actual volume of sludge (ATDS)</v>
      </c>
      <c r="F15" s="5">
        <f t="shared" si="1"/>
        <v>0</v>
      </c>
      <c r="G15" s="5" t="str">
        <f t="shared" si="1"/>
        <v>TDS</v>
      </c>
      <c r="H15" s="188">
        <f t="shared" si="1"/>
        <v>355000</v>
      </c>
      <c r="I15" s="5">
        <f t="shared" si="1"/>
        <v>0</v>
      </c>
      <c r="J15" s="188">
        <f t="shared" si="1"/>
        <v>0</v>
      </c>
      <c r="K15" s="188">
        <f t="shared" si="1"/>
        <v>0</v>
      </c>
      <c r="L15" s="188">
        <f t="shared" si="1"/>
        <v>0</v>
      </c>
      <c r="M15" s="188">
        <f t="shared" si="1"/>
        <v>0</v>
      </c>
      <c r="N15" s="188">
        <f t="shared" si="1"/>
        <v>70000</v>
      </c>
      <c r="O15" s="188">
        <f t="shared" si="1"/>
        <v>73500</v>
      </c>
      <c r="P15" s="188">
        <f t="shared" si="1"/>
        <v>69800</v>
      </c>
      <c r="Q15" s="188">
        <f t="shared" si="1"/>
        <v>71100</v>
      </c>
      <c r="R15" s="188">
        <f t="shared" si="1"/>
        <v>70600</v>
      </c>
    </row>
    <row r="16" spans="1:18" s="308" customFormat="1" ht="14" outlineLevel="1">
      <c r="A16" s="16"/>
      <c r="B16" s="16"/>
      <c r="C16" s="17"/>
      <c r="D16" s="158"/>
      <c r="E16" s="302" t="str">
        <f xml:space="preserve"> InputsR!E$9</f>
        <v>Forecast volume of sludge (FTDS)</v>
      </c>
      <c r="F16" s="302">
        <f xml:space="preserve"> InputsR!F$9</f>
        <v>0</v>
      </c>
      <c r="G16" s="302" t="str">
        <f xml:space="preserve"> InputsR!G$9</f>
        <v>TDS</v>
      </c>
      <c r="H16" s="302">
        <f xml:space="preserve"> InputsR!H$9</f>
        <v>371100</v>
      </c>
      <c r="I16" s="302">
        <f xml:space="preserve"> InputsR!I$9</f>
        <v>0</v>
      </c>
      <c r="J16" s="302">
        <f xml:space="preserve"> InputsR!J$9</f>
        <v>0</v>
      </c>
      <c r="K16" s="302">
        <f xml:space="preserve"> InputsR!K$9</f>
        <v>0</v>
      </c>
      <c r="L16" s="302">
        <f xml:space="preserve"> InputsR!L$9</f>
        <v>0</v>
      </c>
      <c r="M16" s="302">
        <f xml:space="preserve"> InputsR!M$9</f>
        <v>0</v>
      </c>
      <c r="N16" s="302">
        <f xml:space="preserve"> InputsR!N$9</f>
        <v>72700</v>
      </c>
      <c r="O16" s="302">
        <f xml:space="preserve"> InputsR!O$9</f>
        <v>73500</v>
      </c>
      <c r="P16" s="302">
        <f xml:space="preserve"> InputsR!P$9</f>
        <v>74200</v>
      </c>
      <c r="Q16" s="302">
        <f xml:space="preserve"> InputsR!Q$9</f>
        <v>75000</v>
      </c>
      <c r="R16" s="302">
        <f xml:space="preserve"> InputsR!R$9</f>
        <v>75700</v>
      </c>
    </row>
    <row r="17" spans="1:18" s="308" customFormat="1" ht="14" outlineLevel="1">
      <c r="A17" s="2"/>
      <c r="B17" s="2"/>
      <c r="C17" s="3"/>
      <c r="D17" s="4"/>
      <c r="E17" s="302" t="str">
        <f xml:space="preserve"> InputsR!E$15</f>
        <v>Variable revenue - 2017-18 FYA (CPIH deflated)</v>
      </c>
      <c r="F17" s="303">
        <f xml:space="preserve"> InputsR!F$15</f>
        <v>46.548000000000002</v>
      </c>
      <c r="G17" s="302" t="str">
        <f xml:space="preserve"> InputsR!G$15</f>
        <v>£/TDS</v>
      </c>
      <c r="H17" s="302">
        <f xml:space="preserve"> InputsR!H$15</f>
        <v>0</v>
      </c>
      <c r="I17" s="302">
        <f xml:space="preserve"> InputsR!I$15</f>
        <v>0</v>
      </c>
      <c r="J17" s="302">
        <f xml:space="preserve"> InputsR!J$15</f>
        <v>0</v>
      </c>
      <c r="K17" s="302">
        <f xml:space="preserve"> InputsR!K$15</f>
        <v>0</v>
      </c>
      <c r="L17" s="302">
        <f xml:space="preserve"> InputsR!L$15</f>
        <v>0</v>
      </c>
      <c r="M17" s="302">
        <f xml:space="preserve"> InputsR!M$15</f>
        <v>0</v>
      </c>
      <c r="N17" s="302">
        <f xml:space="preserve"> InputsR!N$15</f>
        <v>0</v>
      </c>
      <c r="O17" s="302">
        <f xml:space="preserve"> InputsR!O$15</f>
        <v>0</v>
      </c>
      <c r="P17" s="302">
        <f xml:space="preserve"> InputsR!P$15</f>
        <v>0</v>
      </c>
      <c r="Q17" s="302">
        <f xml:space="preserve"> InputsR!Q$15</f>
        <v>0</v>
      </c>
      <c r="R17" s="302">
        <f xml:space="preserve"> InputsR!R$15</f>
        <v>0</v>
      </c>
    </row>
    <row r="18" spans="1:18" s="308" customFormat="1" ht="14" outlineLevel="1">
      <c r="A18" s="111"/>
      <c r="B18" s="111"/>
      <c r="C18" s="111"/>
      <c r="D18" s="111"/>
      <c r="E18" s="111" t="s">
        <v>175</v>
      </c>
      <c r="F18" s="111"/>
      <c r="G18" s="111" t="s">
        <v>107</v>
      </c>
      <c r="H18" s="335">
        <f xml:space="preserve"> SUM( J18:R18 )</f>
        <v>112.63615195325787</v>
      </c>
      <c r="I18" s="335"/>
      <c r="J18" s="336">
        <f xml:space="preserve"> J14 + ( ( J15 - J16 ) * $F$17 ) / $F$13</f>
        <v>0</v>
      </c>
      <c r="K18" s="336">
        <f t="shared" ref="K18:R18" si="2" xml:space="preserve"> K14 + ( ( K15 - K16 ) * $F$17 ) / $F$13</f>
        <v>0</v>
      </c>
      <c r="L18" s="336">
        <f t="shared" si="2"/>
        <v>0</v>
      </c>
      <c r="M18" s="336">
        <f t="shared" si="2"/>
        <v>0</v>
      </c>
      <c r="N18" s="336">
        <f t="shared" si="2"/>
        <v>20.38797911692777</v>
      </c>
      <c r="O18" s="336">
        <f t="shared" si="2"/>
        <v>20.739393613400154</v>
      </c>
      <c r="P18" s="336">
        <f t="shared" si="2"/>
        <v>23.452750308748499</v>
      </c>
      <c r="Q18" s="336">
        <f t="shared" si="2"/>
        <v>23.953654529499698</v>
      </c>
      <c r="R18" s="336">
        <f t="shared" si="2"/>
        <v>24.102374384681731</v>
      </c>
    </row>
    <row r="19" spans="1:18" s="308" customFormat="1" ht="14" outlineLevel="1">
      <c r="A19" s="351"/>
      <c r="B19" s="351"/>
      <c r="C19" s="351"/>
      <c r="D19" s="351"/>
      <c r="E19" s="306"/>
      <c r="F19" s="337"/>
      <c r="G19" s="337"/>
      <c r="H19" s="337"/>
      <c r="I19" s="337"/>
      <c r="J19" s="338"/>
      <c r="K19" s="338"/>
      <c r="L19" s="338"/>
      <c r="M19" s="338"/>
      <c r="N19" s="338"/>
      <c r="O19" s="338"/>
      <c r="P19" s="338"/>
      <c r="Q19" s="338"/>
      <c r="R19" s="338"/>
    </row>
    <row r="20" spans="1:18" s="308" customFormat="1" ht="14" outlineLevel="1">
      <c r="A20" s="351"/>
      <c r="B20" s="351"/>
      <c r="C20" s="351"/>
      <c r="D20" s="351"/>
      <c r="E20" s="111" t="str">
        <f t="shared" ref="E20:R20" si="3" xml:space="preserve"> E$18</f>
        <v>Modified revenue - 2017-18 FYA (CPIH deflated)</v>
      </c>
      <c r="F20" s="111">
        <f t="shared" si="3"/>
        <v>0</v>
      </c>
      <c r="G20" s="111" t="str">
        <f t="shared" si="3"/>
        <v>£m</v>
      </c>
      <c r="H20" s="111">
        <f t="shared" si="3"/>
        <v>112.63615195325787</v>
      </c>
      <c r="I20" s="111">
        <f t="shared" si="3"/>
        <v>0</v>
      </c>
      <c r="J20" s="111">
        <f t="shared" si="3"/>
        <v>0</v>
      </c>
      <c r="K20" s="111">
        <f t="shared" si="3"/>
        <v>0</v>
      </c>
      <c r="L20" s="111">
        <f t="shared" si="3"/>
        <v>0</v>
      </c>
      <c r="M20" s="111">
        <f t="shared" si="3"/>
        <v>0</v>
      </c>
      <c r="N20" s="111">
        <f t="shared" si="3"/>
        <v>20.38797911692777</v>
      </c>
      <c r="O20" s="111">
        <f t="shared" si="3"/>
        <v>20.739393613400154</v>
      </c>
      <c r="P20" s="111">
        <f t="shared" si="3"/>
        <v>23.452750308748499</v>
      </c>
      <c r="Q20" s="111">
        <f t="shared" si="3"/>
        <v>23.953654529499698</v>
      </c>
      <c r="R20" s="111">
        <f t="shared" si="3"/>
        <v>24.102374384681731</v>
      </c>
    </row>
    <row r="21" spans="1:18" s="308" customFormat="1" ht="14" outlineLevel="1">
      <c r="A21" s="351"/>
      <c r="B21" s="351"/>
      <c r="C21" s="351"/>
      <c r="D21" s="351"/>
      <c r="E21" s="160" t="str">
        <f xml:space="preserve"> Index!E$23</f>
        <v>CPIH Nov-Nov indexation factor - CALC</v>
      </c>
      <c r="F21" s="160">
        <f xml:space="preserve"> Index!F$23</f>
        <v>0</v>
      </c>
      <c r="G21" s="160" t="str">
        <f xml:space="preserve"> Index!G$23</f>
        <v>%</v>
      </c>
      <c r="H21" s="160">
        <f xml:space="preserve"> Index!H$23</f>
        <v>0</v>
      </c>
      <c r="I21" s="160">
        <f xml:space="preserve"> Index!I$23</f>
        <v>0</v>
      </c>
      <c r="J21" s="160">
        <f xml:space="preserve"> Index!J$23</f>
        <v>0</v>
      </c>
      <c r="K21" s="160">
        <f xml:space="preserve"> Index!K$23</f>
        <v>1</v>
      </c>
      <c r="L21" s="160">
        <f xml:space="preserve"> Index!L$23</f>
        <v>1.0284872298624754</v>
      </c>
      <c r="M21" s="160">
        <f xml:space="preserve"> Index!M$23</f>
        <v>1.0500982318271121</v>
      </c>
      <c r="N21" s="160">
        <f xml:space="preserve"> Index!N$23</f>
        <v>1.0658153241650294</v>
      </c>
      <c r="O21" s="160">
        <f xml:space="preserve"> Index!O$23</f>
        <v>1.0717092337917484</v>
      </c>
      <c r="P21" s="160">
        <f xml:space="preserve"> Index!P$23</f>
        <v>1.1208251473477406</v>
      </c>
      <c r="Q21" s="160">
        <f xml:space="preserve"> Index!Q$23</f>
        <v>1.2259332023575638</v>
      </c>
      <c r="R21" s="160">
        <f xml:space="preserve"> Index!R$23</f>
        <v>1.2770137524557956</v>
      </c>
    </row>
    <row r="22" spans="1:18" s="339" customFormat="1" ht="14" outlineLevel="1">
      <c r="E22" s="111" t="s">
        <v>176</v>
      </c>
      <c r="F22" s="111"/>
      <c r="G22" s="111" t="s">
        <v>107</v>
      </c>
      <c r="H22" s="111">
        <f xml:space="preserve"> SUM( J22:R22 )</f>
        <v>130.38749649240677</v>
      </c>
      <c r="I22" s="111"/>
      <c r="J22" s="111">
        <f xml:space="preserve"> J20 * J21</f>
        <v>0</v>
      </c>
      <c r="K22" s="111">
        <f t="shared" ref="K22:R22" si="4" xml:space="preserve"> K20 * K21</f>
        <v>0</v>
      </c>
      <c r="L22" s="111">
        <f t="shared" si="4"/>
        <v>0</v>
      </c>
      <c r="M22" s="111">
        <f t="shared" si="4"/>
        <v>0</v>
      </c>
      <c r="N22" s="111">
        <f xml:space="preserve"> N20 * N21</f>
        <v>21.729820571578223</v>
      </c>
      <c r="O22" s="111">
        <f t="shared" si="4"/>
        <v>22.226599638722558</v>
      </c>
      <c r="P22" s="111">
        <f t="shared" si="4"/>
        <v>26.286432320512805</v>
      </c>
      <c r="Q22" s="111">
        <f t="shared" si="4"/>
        <v>29.365580405516326</v>
      </c>
      <c r="R22" s="111">
        <f t="shared" si="4"/>
        <v>30.779063556076867</v>
      </c>
    </row>
    <row r="23" spans="1:18" s="300" customFormat="1" ht="14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</row>
    <row r="24" spans="1:18" s="300" customFormat="1" ht="15" customHeight="1">
      <c r="A24" s="80" t="s">
        <v>177</v>
      </c>
      <c r="B24" s="80"/>
      <c r="C24" s="81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</row>
    <row r="25" spans="1:18" ht="15" customHeight="1" outlineLevel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5" customHeight="1" outlineLevel="1">
      <c r="A26" s="25"/>
      <c r="B26" s="25"/>
      <c r="C26" s="25"/>
      <c r="D26" s="25"/>
      <c r="E26" s="334" t="str">
        <f t="shared" ref="E26:R26" si="5" xml:space="preserve"> E$22</f>
        <v>Modified revenue</v>
      </c>
      <c r="F26" s="334">
        <f t="shared" si="5"/>
        <v>0</v>
      </c>
      <c r="G26" s="334" t="str">
        <f t="shared" si="5"/>
        <v>£m</v>
      </c>
      <c r="H26" s="239">
        <f t="shared" si="5"/>
        <v>130.38749649240677</v>
      </c>
      <c r="I26" s="334">
        <f t="shared" si="5"/>
        <v>0</v>
      </c>
      <c r="J26" s="239">
        <f t="shared" si="5"/>
        <v>0</v>
      </c>
      <c r="K26" s="239">
        <f t="shared" si="5"/>
        <v>0</v>
      </c>
      <c r="L26" s="239">
        <f t="shared" si="5"/>
        <v>0</v>
      </c>
      <c r="M26" s="239">
        <f t="shared" si="5"/>
        <v>0</v>
      </c>
      <c r="N26" s="239">
        <f t="shared" si="5"/>
        <v>21.729820571578223</v>
      </c>
      <c r="O26" s="239">
        <f t="shared" si="5"/>
        <v>22.226599638722558</v>
      </c>
      <c r="P26" s="239">
        <f t="shared" si="5"/>
        <v>26.286432320512805</v>
      </c>
      <c r="Q26" s="239">
        <f t="shared" si="5"/>
        <v>29.365580405516326</v>
      </c>
      <c r="R26" s="239">
        <f t="shared" si="5"/>
        <v>30.779063556076867</v>
      </c>
    </row>
    <row r="27" spans="1:18" ht="15" customHeight="1" outlineLevel="1">
      <c r="A27" s="195"/>
      <c r="B27" s="195"/>
      <c r="C27" s="196"/>
      <c r="D27" s="197"/>
      <c r="E27" s="199" t="str">
        <f xml:space="preserve"> E$65</f>
        <v>Total adjustment to allowed revenue including over / under recovery true up</v>
      </c>
      <c r="F27" s="199" t="str">
        <f t="shared" ref="F27:R27" si="6" xml:space="preserve"> F$65</f>
        <v>2 PD LK BCK</v>
      </c>
      <c r="G27" s="199" t="str">
        <f t="shared" si="6"/>
        <v>£m</v>
      </c>
      <c r="H27" s="175">
        <f t="shared" si="6"/>
        <v>1.2841953780956112</v>
      </c>
      <c r="I27" s="175">
        <f t="shared" si="6"/>
        <v>0</v>
      </c>
      <c r="J27" s="175">
        <f t="shared" si="6"/>
        <v>0</v>
      </c>
      <c r="K27" s="175">
        <f t="shared" si="6"/>
        <v>0</v>
      </c>
      <c r="L27" s="175">
        <f t="shared" si="6"/>
        <v>0</v>
      </c>
      <c r="M27" s="175">
        <f t="shared" si="6"/>
        <v>0</v>
      </c>
      <c r="N27" s="175">
        <f t="shared" si="6"/>
        <v>0</v>
      </c>
      <c r="O27" s="175">
        <f t="shared" si="6"/>
        <v>0</v>
      </c>
      <c r="P27" s="175">
        <f t="shared" si="6"/>
        <v>-1.8066946213911468</v>
      </c>
      <c r="Q27" s="175">
        <f t="shared" si="6"/>
        <v>2.9942833438520311</v>
      </c>
      <c r="R27" s="175">
        <f t="shared" si="6"/>
        <v>9.6606655634726951E-2</v>
      </c>
    </row>
    <row r="28" spans="1:18" ht="15" customHeight="1" outlineLevel="1">
      <c r="A28" s="195"/>
      <c r="B28" s="195"/>
      <c r="C28" s="196"/>
      <c r="D28" s="197"/>
      <c r="E28" s="198" t="s">
        <v>178</v>
      </c>
      <c r="F28" s="198"/>
      <c r="G28" s="198" t="s">
        <v>107</v>
      </c>
      <c r="H28" s="202">
        <f xml:space="preserve"> SUM( J28:R28 )</f>
        <v>131.6716918705024</v>
      </c>
      <c r="I28" s="198"/>
      <c r="J28" s="202">
        <f xml:space="preserve"> J26 + J27</f>
        <v>0</v>
      </c>
      <c r="K28" s="202">
        <f t="shared" ref="K28:R28" si="7" xml:space="preserve"> K26 + K27</f>
        <v>0</v>
      </c>
      <c r="L28" s="202">
        <f t="shared" si="7"/>
        <v>0</v>
      </c>
      <c r="M28" s="202">
        <f t="shared" si="7"/>
        <v>0</v>
      </c>
      <c r="N28" s="202">
        <f xml:space="preserve"> N26 + N27</f>
        <v>21.729820571578223</v>
      </c>
      <c r="O28" s="202">
        <f t="shared" si="7"/>
        <v>22.226599638722558</v>
      </c>
      <c r="P28" s="202">
        <f t="shared" si="7"/>
        <v>24.479737699121657</v>
      </c>
      <c r="Q28" s="202">
        <f t="shared" si="7"/>
        <v>32.359863749368358</v>
      </c>
      <c r="R28" s="202">
        <f t="shared" si="7"/>
        <v>30.875670211711594</v>
      </c>
    </row>
    <row r="29" spans="1:18" ht="15" customHeight="1" outlineLevel="1">
      <c r="A29" s="200"/>
      <c r="B29" s="200"/>
      <c r="C29" s="201"/>
      <c r="D29" s="198"/>
      <c r="E29" s="198"/>
      <c r="F29" s="198"/>
      <c r="G29" s="198"/>
      <c r="H29" s="202"/>
      <c r="I29" s="23"/>
      <c r="J29" s="23"/>
      <c r="K29" s="203"/>
      <c r="L29" s="203"/>
      <c r="M29" s="203"/>
      <c r="N29" s="203"/>
      <c r="O29" s="203"/>
      <c r="P29" s="203"/>
      <c r="Q29" s="203"/>
      <c r="R29" s="203"/>
    </row>
    <row r="30" spans="1:18" ht="15" customHeight="1" outlineLevel="1">
      <c r="A30" s="164"/>
      <c r="B30" s="164" t="s">
        <v>179</v>
      </c>
      <c r="C30" s="165"/>
      <c r="D30" s="194"/>
      <c r="E30" s="166"/>
      <c r="F30" s="166"/>
      <c r="G30" s="166"/>
      <c r="H30" s="166"/>
      <c r="I30" s="23"/>
      <c r="J30" s="23"/>
      <c r="K30" s="131"/>
      <c r="L30" s="126"/>
      <c r="M30" s="126"/>
      <c r="N30" s="126"/>
      <c r="O30" s="126"/>
      <c r="P30" s="126"/>
      <c r="Q30" s="126"/>
      <c r="R30" s="126"/>
    </row>
    <row r="31" spans="1:18" ht="15" customHeight="1" outlineLevel="1">
      <c r="A31" s="164"/>
      <c r="B31" s="164"/>
      <c r="C31" s="165"/>
      <c r="D31" s="194"/>
      <c r="E31" s="166"/>
      <c r="F31" s="166"/>
      <c r="G31" s="166"/>
      <c r="H31" s="166"/>
      <c r="I31" s="23"/>
      <c r="J31" s="23"/>
      <c r="K31" s="131"/>
      <c r="L31" s="126"/>
      <c r="M31" s="126"/>
      <c r="N31" s="126"/>
      <c r="O31" s="126"/>
      <c r="P31" s="126"/>
      <c r="Q31" s="126"/>
      <c r="R31" s="126"/>
    </row>
    <row r="32" spans="1:18" ht="15" customHeight="1" outlineLevel="1">
      <c r="A32" s="83"/>
      <c r="B32" s="83"/>
      <c r="C32" s="84"/>
      <c r="D32" s="85"/>
      <c r="E32" s="204" t="str">
        <f xml:space="preserve"> InputsR!E$17</f>
        <v>Recovered revenue for bioresources</v>
      </c>
      <c r="F32" s="204">
        <f xml:space="preserve"> InputsR!F$17</f>
        <v>0</v>
      </c>
      <c r="G32" s="204" t="str">
        <f xml:space="preserve"> InputsR!G$17</f>
        <v>£m</v>
      </c>
      <c r="H32" s="204">
        <f xml:space="preserve"> InputsR!H$17</f>
        <v>131.43710660345411</v>
      </c>
      <c r="I32" s="204">
        <f xml:space="preserve"> InputsR!I$17</f>
        <v>0</v>
      </c>
      <c r="J32" s="204">
        <f xml:space="preserve"> InputsR!J$17</f>
        <v>0</v>
      </c>
      <c r="K32" s="204">
        <f xml:space="preserve"> InputsR!K$17</f>
        <v>0</v>
      </c>
      <c r="L32" s="204">
        <f xml:space="preserve"> InputsR!L$17</f>
        <v>0</v>
      </c>
      <c r="M32" s="204">
        <f xml:space="preserve"> InputsR!M$17</f>
        <v>0</v>
      </c>
      <c r="N32" s="204">
        <f xml:space="preserve"> InputsR!N$17</f>
        <v>23.343</v>
      </c>
      <c r="O32" s="204">
        <f xml:space="preserve"> InputsR!O$17</f>
        <v>19.764999999999997</v>
      </c>
      <c r="P32" s="204">
        <f xml:space="preserve"> InputsR!P$17</f>
        <v>24.4</v>
      </c>
      <c r="Q32" s="204">
        <f xml:space="preserve"> InputsR!Q$17</f>
        <v>32.871000000000002</v>
      </c>
      <c r="R32" s="204">
        <f xml:space="preserve"> InputsR!R$17</f>
        <v>31.058106603454121</v>
      </c>
    </row>
    <row r="33" spans="1:18" ht="15" customHeight="1" outlineLevel="1">
      <c r="A33" s="103"/>
      <c r="B33" s="83"/>
      <c r="C33" s="104"/>
      <c r="D33" s="85" t="s">
        <v>161</v>
      </c>
      <c r="E33" s="173" t="str">
        <f xml:space="preserve"> E$28</f>
        <v>Allowed revenue</v>
      </c>
      <c r="F33" s="173">
        <f t="shared" ref="F33:R33" si="8" xml:space="preserve"> F$28</f>
        <v>0</v>
      </c>
      <c r="G33" s="173" t="str">
        <f t="shared" si="8"/>
        <v>£m</v>
      </c>
      <c r="H33" s="173">
        <f t="shared" si="8"/>
        <v>131.6716918705024</v>
      </c>
      <c r="I33" s="173">
        <f t="shared" si="8"/>
        <v>0</v>
      </c>
      <c r="J33" s="173">
        <f t="shared" si="8"/>
        <v>0</v>
      </c>
      <c r="K33" s="173">
        <f t="shared" si="8"/>
        <v>0</v>
      </c>
      <c r="L33" s="173">
        <f t="shared" si="8"/>
        <v>0</v>
      </c>
      <c r="M33" s="173">
        <f t="shared" si="8"/>
        <v>0</v>
      </c>
      <c r="N33" s="173">
        <f t="shared" si="8"/>
        <v>21.729820571578223</v>
      </c>
      <c r="O33" s="173">
        <f t="shared" si="8"/>
        <v>22.226599638722558</v>
      </c>
      <c r="P33" s="173">
        <f t="shared" si="8"/>
        <v>24.479737699121657</v>
      </c>
      <c r="Q33" s="173">
        <f t="shared" si="8"/>
        <v>32.359863749368358</v>
      </c>
      <c r="R33" s="173">
        <f t="shared" si="8"/>
        <v>30.875670211711594</v>
      </c>
    </row>
    <row r="34" spans="1:18" ht="15" customHeight="1" outlineLevel="1">
      <c r="A34" s="191"/>
      <c r="B34" s="191"/>
      <c r="C34" s="156"/>
      <c r="D34" s="192"/>
      <c r="E34" s="206" t="s">
        <v>180</v>
      </c>
      <c r="F34" s="207"/>
      <c r="G34" s="207" t="s">
        <v>107</v>
      </c>
      <c r="H34" s="207">
        <f xml:space="preserve"> SUM(J34:W34)</f>
        <v>-0.23458526704827065</v>
      </c>
      <c r="I34" s="203"/>
      <c r="J34" s="203">
        <f xml:space="preserve"> J32 - J33</f>
        <v>0</v>
      </c>
      <c r="K34" s="203">
        <f t="shared" ref="K34:R34" si="9" xml:space="preserve"> K32 - K33</f>
        <v>0</v>
      </c>
      <c r="L34" s="203">
        <f t="shared" si="9"/>
        <v>0</v>
      </c>
      <c r="M34" s="203">
        <f t="shared" si="9"/>
        <v>0</v>
      </c>
      <c r="N34" s="203">
        <f t="shared" si="9"/>
        <v>1.6131794284217769</v>
      </c>
      <c r="O34" s="203">
        <f t="shared" si="9"/>
        <v>-2.4615996387225607</v>
      </c>
      <c r="P34" s="203">
        <f t="shared" si="9"/>
        <v>-7.9737699121658068E-2</v>
      </c>
      <c r="Q34" s="203">
        <f t="shared" si="9"/>
        <v>0.51113625063164392</v>
      </c>
      <c r="R34" s="203">
        <f t="shared" si="9"/>
        <v>0.18243639174252735</v>
      </c>
    </row>
    <row r="35" spans="1:18" ht="15" customHeight="1" outlineLevel="1">
      <c r="A35" s="83"/>
      <c r="B35" s="83"/>
      <c r="C35" s="84"/>
      <c r="D35" s="85"/>
      <c r="E35" s="166"/>
      <c r="F35" s="27"/>
      <c r="G35" s="27"/>
      <c r="H35" s="27"/>
      <c r="I35" s="23"/>
      <c r="J35" s="23"/>
      <c r="K35" s="131"/>
      <c r="L35" s="126"/>
      <c r="M35" s="126"/>
      <c r="N35" s="126"/>
      <c r="O35" s="126"/>
      <c r="P35" s="126"/>
      <c r="Q35" s="126"/>
      <c r="R35" s="126"/>
    </row>
    <row r="36" spans="1:18" ht="15" customHeight="1" outlineLevel="1">
      <c r="A36" s="83"/>
      <c r="B36" s="83" t="s">
        <v>181</v>
      </c>
      <c r="C36" s="84"/>
      <c r="D36" s="85"/>
      <c r="E36" s="166"/>
      <c r="F36" s="27"/>
      <c r="G36" s="27"/>
      <c r="H36" s="27"/>
      <c r="I36" s="23"/>
      <c r="J36" s="23"/>
      <c r="K36" s="131"/>
      <c r="L36" s="126"/>
      <c r="M36" s="126"/>
      <c r="N36" s="126"/>
      <c r="O36" s="126"/>
      <c r="P36" s="126"/>
      <c r="Q36" s="126"/>
      <c r="R36" s="126"/>
    </row>
    <row r="37" spans="1:18" ht="15" customHeight="1" outlineLevel="1">
      <c r="A37" s="83"/>
      <c r="B37" s="83"/>
      <c r="C37" s="84"/>
      <c r="D37" s="85"/>
      <c r="E37" s="166"/>
      <c r="F37" s="27"/>
      <c r="G37" s="27"/>
      <c r="H37" s="27"/>
      <c r="I37" s="23"/>
      <c r="J37" s="23"/>
      <c r="K37" s="131"/>
      <c r="L37" s="126"/>
      <c r="M37" s="126"/>
      <c r="N37" s="126"/>
      <c r="O37" s="126"/>
      <c r="P37" s="126"/>
      <c r="Q37" s="126"/>
      <c r="R37" s="126"/>
    </row>
    <row r="38" spans="1:18" ht="15" customHeight="1" outlineLevel="1">
      <c r="A38" s="103"/>
      <c r="B38" s="83"/>
      <c r="C38" s="104"/>
      <c r="D38" s="85"/>
      <c r="E38" s="160" t="str">
        <f xml:space="preserve"> InputsR!E$23</f>
        <v>Discount rate</v>
      </c>
      <c r="F38" s="160">
        <f xml:space="preserve"> InputsR!F$23</f>
        <v>3.1199800000000003E-2</v>
      </c>
      <c r="G38" s="160" t="str">
        <f xml:space="preserve"> InputsR!G$23</f>
        <v>%</v>
      </c>
      <c r="H38" s="160">
        <f xml:space="preserve"> InputsR!H$23</f>
        <v>0</v>
      </c>
      <c r="I38" s="160">
        <f xml:space="preserve"> InputsR!I$23</f>
        <v>0</v>
      </c>
      <c r="J38" s="160">
        <f xml:space="preserve"> InputsR!J$23</f>
        <v>0</v>
      </c>
      <c r="K38" s="160">
        <f xml:space="preserve"> InputsR!K$23</f>
        <v>0</v>
      </c>
      <c r="L38" s="160">
        <f xml:space="preserve"> InputsR!L$23</f>
        <v>0</v>
      </c>
      <c r="M38" s="160">
        <f xml:space="preserve"> InputsR!M$23</f>
        <v>0</v>
      </c>
      <c r="N38" s="160">
        <f xml:space="preserve"> InputsR!N$23</f>
        <v>0</v>
      </c>
      <c r="O38" s="160">
        <f xml:space="preserve"> InputsR!O$23</f>
        <v>0</v>
      </c>
      <c r="P38" s="160">
        <f xml:space="preserve"> InputsR!P$23</f>
        <v>0</v>
      </c>
      <c r="Q38" s="160">
        <f xml:space="preserve"> InputsR!Q$23</f>
        <v>0</v>
      </c>
      <c r="R38" s="160">
        <f xml:space="preserve"> InputsR!R$23</f>
        <v>0</v>
      </c>
    </row>
    <row r="39" spans="1:18" ht="15" customHeight="1" outlineLevel="1">
      <c r="A39" s="200"/>
      <c r="B39" s="208"/>
      <c r="C39" s="201"/>
      <c r="D39" s="205"/>
      <c r="E39" s="209" t="str">
        <f xml:space="preserve"> Time!E$50</f>
        <v>Forecast Period Flag</v>
      </c>
      <c r="F39" s="209">
        <f xml:space="preserve"> Time!F$50</f>
        <v>0</v>
      </c>
      <c r="G39" s="209" t="str">
        <f xml:space="preserve"> Time!G$50</f>
        <v>flag</v>
      </c>
      <c r="H39" s="209">
        <f xml:space="preserve"> Time!H$50</f>
        <v>5</v>
      </c>
      <c r="I39" s="209">
        <f xml:space="preserve"> Time!I$50</f>
        <v>0</v>
      </c>
      <c r="J39" s="209">
        <f xml:space="preserve"> Time!J$50</f>
        <v>0</v>
      </c>
      <c r="K39" s="209">
        <f xml:space="preserve"> Time!K$50</f>
        <v>0</v>
      </c>
      <c r="L39" s="209">
        <f xml:space="preserve"> Time!L$50</f>
        <v>0</v>
      </c>
      <c r="M39" s="209">
        <f xml:space="preserve"> Time!M$50</f>
        <v>0</v>
      </c>
      <c r="N39" s="209">
        <f xml:space="preserve"> Time!N$50</f>
        <v>1</v>
      </c>
      <c r="O39" s="209">
        <f xml:space="preserve"> Time!O$50</f>
        <v>1</v>
      </c>
      <c r="P39" s="209">
        <f xml:space="preserve"> Time!P$50</f>
        <v>1</v>
      </c>
      <c r="Q39" s="209">
        <f xml:space="preserve"> Time!Q$50</f>
        <v>1</v>
      </c>
      <c r="R39" s="209">
        <f xml:space="preserve"> Time!R$50</f>
        <v>1</v>
      </c>
    </row>
    <row r="40" spans="1:18" ht="15" customHeight="1" outlineLevel="1">
      <c r="A40" s="208"/>
      <c r="B40" s="208"/>
      <c r="C40" s="201"/>
      <c r="D40" s="205"/>
      <c r="E40" s="202" t="str">
        <f xml:space="preserve"> E$34</f>
        <v>Revenue imbalance</v>
      </c>
      <c r="F40" s="202">
        <f t="shared" ref="F40:R40" si="10" xml:space="preserve"> F$34</f>
        <v>0</v>
      </c>
      <c r="G40" s="202" t="str">
        <f t="shared" si="10"/>
        <v>£m</v>
      </c>
      <c r="H40" s="202">
        <f t="shared" si="10"/>
        <v>-0.23458526704827065</v>
      </c>
      <c r="I40" s="202">
        <f t="shared" si="10"/>
        <v>0</v>
      </c>
      <c r="J40" s="202">
        <f t="shared" si="10"/>
        <v>0</v>
      </c>
      <c r="K40" s="202">
        <f t="shared" si="10"/>
        <v>0</v>
      </c>
      <c r="L40" s="202">
        <f t="shared" si="10"/>
        <v>0</v>
      </c>
      <c r="M40" s="202">
        <f t="shared" si="10"/>
        <v>0</v>
      </c>
      <c r="N40" s="202">
        <f t="shared" si="10"/>
        <v>1.6131794284217769</v>
      </c>
      <c r="O40" s="202">
        <f t="shared" si="10"/>
        <v>-2.4615996387225607</v>
      </c>
      <c r="P40" s="202">
        <f t="shared" si="10"/>
        <v>-7.9737699121658068E-2</v>
      </c>
      <c r="Q40" s="202">
        <f t="shared" si="10"/>
        <v>0.51113625063164392</v>
      </c>
      <c r="R40" s="202">
        <f t="shared" si="10"/>
        <v>0.18243639174252735</v>
      </c>
    </row>
    <row r="41" spans="1:18" ht="15" customHeight="1" outlineLevel="1">
      <c r="A41" s="83"/>
      <c r="B41" s="83"/>
      <c r="C41" s="104"/>
      <c r="D41" s="85"/>
      <c r="E41" s="166" t="s">
        <v>182</v>
      </c>
      <c r="F41" s="173"/>
      <c r="G41" s="173" t="s">
        <v>107</v>
      </c>
      <c r="H41" s="173">
        <f xml:space="preserve"> SUM(J41:W41)</f>
        <v>-0.24945164563271627</v>
      </c>
      <c r="I41" s="203"/>
      <c r="J41" s="203">
        <f xml:space="preserve"> IF( J39 = 1, J40 * (  1 + $F38 ) * ( 1 + $F38 ), 0)</f>
        <v>0</v>
      </c>
      <c r="K41" s="203">
        <f t="shared" ref="K41:R41" si="11" xml:space="preserve"> IF( K39 = 1, K40 * (  1 + $F38 ) * ( 1 + $F38 ), 0)</f>
        <v>0</v>
      </c>
      <c r="L41" s="203">
        <f t="shared" si="11"/>
        <v>0</v>
      </c>
      <c r="M41" s="203">
        <f t="shared" si="11"/>
        <v>0</v>
      </c>
      <c r="N41" s="203">
        <f t="shared" si="11"/>
        <v>1.7154114927339126</v>
      </c>
      <c r="O41" s="203">
        <f t="shared" si="11"/>
        <v>-2.6175986603706458</v>
      </c>
      <c r="P41" s="203">
        <f t="shared" si="11"/>
        <v>-8.4790918522479566E-2</v>
      </c>
      <c r="Q41" s="203">
        <f t="shared" si="11"/>
        <v>0.54352850230941319</v>
      </c>
      <c r="R41" s="203">
        <f t="shared" si="11"/>
        <v>0.19399793821708333</v>
      </c>
    </row>
    <row r="42" spans="1:18" ht="15" customHeight="1" outlineLevel="1">
      <c r="A42" s="83"/>
      <c r="B42" s="83"/>
      <c r="C42" s="84"/>
      <c r="D42" s="85"/>
      <c r="E42" s="166"/>
      <c r="F42" s="27"/>
      <c r="G42" s="27"/>
      <c r="H42" s="27"/>
      <c r="I42" s="23"/>
      <c r="J42" s="131"/>
      <c r="K42" s="131"/>
      <c r="L42" s="126"/>
      <c r="M42" s="126"/>
      <c r="N42" s="126"/>
      <c r="O42" s="126"/>
      <c r="P42" s="126"/>
      <c r="Q42" s="126"/>
      <c r="R42" s="126"/>
    </row>
    <row r="43" spans="1:18" ht="15" customHeight="1" outlineLevel="1">
      <c r="A43" s="200"/>
      <c r="B43" s="208"/>
      <c r="C43" s="201"/>
      <c r="D43" s="205"/>
      <c r="E43" s="209" t="str">
        <f xml:space="preserve"> Index!E$26</f>
        <v>CPIH Nov-Nov - percentage increase - CALC</v>
      </c>
      <c r="F43" s="193">
        <f xml:space="preserve"> Index!F$26</f>
        <v>0</v>
      </c>
      <c r="G43" s="193">
        <f xml:space="preserve"> Index!G$26</f>
        <v>0</v>
      </c>
      <c r="H43" s="193">
        <f xml:space="preserve"> Index!H$26</f>
        <v>0</v>
      </c>
      <c r="I43" s="193">
        <f xml:space="preserve"> Index!I$26</f>
        <v>0</v>
      </c>
      <c r="J43" s="193">
        <f xml:space="preserve"> Index!J$26</f>
        <v>0</v>
      </c>
      <c r="K43" s="193">
        <f xml:space="preserve"> Index!K$26</f>
        <v>0</v>
      </c>
      <c r="L43" s="193">
        <f xml:space="preserve"> Index!L$26</f>
        <v>1.0284872298624754</v>
      </c>
      <c r="M43" s="193">
        <f xml:space="preserve"> Index!M$26</f>
        <v>1.0210124164278893</v>
      </c>
      <c r="N43" s="193">
        <f xml:space="preserve"> Index!N$26</f>
        <v>1.0149672591206733</v>
      </c>
      <c r="O43" s="193">
        <f xml:space="preserve"> Index!O$26</f>
        <v>1.0055299539170506</v>
      </c>
      <c r="P43" s="193">
        <f xml:space="preserve"> Index!P$26</f>
        <v>1.0458295142071494</v>
      </c>
      <c r="Q43" s="193">
        <f xml:space="preserve"> Index!Q$26</f>
        <v>1.0937773882559159</v>
      </c>
      <c r="R43" s="193">
        <f xml:space="preserve"> Index!R$26</f>
        <v>1.0416666666666667</v>
      </c>
    </row>
    <row r="44" spans="1:18" ht="15" customHeight="1" outlineLevel="1">
      <c r="A44" s="200"/>
      <c r="B44" s="208"/>
      <c r="C44" s="201"/>
      <c r="D44" s="205"/>
      <c r="E44" s="209" t="str">
        <f xml:space="preserve"> Time!E$59</f>
        <v>Forecast period counter</v>
      </c>
      <c r="F44" s="209">
        <f xml:space="preserve"> Time!F$59</f>
        <v>0</v>
      </c>
      <c r="G44" s="209" t="str">
        <f xml:space="preserve"> Time!G$59</f>
        <v>counter</v>
      </c>
      <c r="H44" s="209">
        <f xml:space="preserve"> Time!H$59</f>
        <v>0</v>
      </c>
      <c r="I44" s="209">
        <f xml:space="preserve"> Time!I$59</f>
        <v>0</v>
      </c>
      <c r="J44" s="209">
        <f xml:space="preserve"> Time!J$59</f>
        <v>0</v>
      </c>
      <c r="K44" s="209">
        <f xml:space="preserve"> Time!K$59</f>
        <v>0</v>
      </c>
      <c r="L44" s="209">
        <f xml:space="preserve"> Time!L$59</f>
        <v>0</v>
      </c>
      <c r="M44" s="209">
        <f xml:space="preserve"> Time!M$59</f>
        <v>0</v>
      </c>
      <c r="N44" s="209">
        <f xml:space="preserve"> Time!N$59</f>
        <v>1</v>
      </c>
      <c r="O44" s="209">
        <f xml:space="preserve"> Time!O$59</f>
        <v>2</v>
      </c>
      <c r="P44" s="209">
        <f xml:space="preserve"> Time!P$59</f>
        <v>3</v>
      </c>
      <c r="Q44" s="209">
        <f xml:space="preserve"> Time!Q$59</f>
        <v>4</v>
      </c>
      <c r="R44" s="209">
        <f xml:space="preserve"> Time!R$59</f>
        <v>5</v>
      </c>
    </row>
    <row r="45" spans="1:18" ht="15" customHeight="1" outlineLevel="1">
      <c r="A45" s="83"/>
      <c r="B45" s="83"/>
      <c r="C45" s="84"/>
      <c r="D45" s="85"/>
      <c r="E45" s="173" t="str">
        <f xml:space="preserve"> E$41</f>
        <v>Bioresources revenue adjustment (ABR) - with financing adjustment</v>
      </c>
      <c r="F45" s="173">
        <f t="shared" ref="F45:R45" si="12" xml:space="preserve"> F$41</f>
        <v>0</v>
      </c>
      <c r="G45" s="173" t="str">
        <f t="shared" si="12"/>
        <v>£m</v>
      </c>
      <c r="H45" s="173">
        <f t="shared" si="12"/>
        <v>-0.24945164563271627</v>
      </c>
      <c r="I45" s="173">
        <f t="shared" si="12"/>
        <v>0</v>
      </c>
      <c r="J45" s="173">
        <f t="shared" si="12"/>
        <v>0</v>
      </c>
      <c r="K45" s="173">
        <f t="shared" si="12"/>
        <v>0</v>
      </c>
      <c r="L45" s="173">
        <f t="shared" si="12"/>
        <v>0</v>
      </c>
      <c r="M45" s="173">
        <f t="shared" si="12"/>
        <v>0</v>
      </c>
      <c r="N45" s="173">
        <f t="shared" si="12"/>
        <v>1.7154114927339126</v>
      </c>
      <c r="O45" s="173">
        <f t="shared" si="12"/>
        <v>-2.6175986603706458</v>
      </c>
      <c r="P45" s="173">
        <f t="shared" si="12"/>
        <v>-8.4790918522479566E-2</v>
      </c>
      <c r="Q45" s="173">
        <f t="shared" si="12"/>
        <v>0.54352850230941319</v>
      </c>
      <c r="R45" s="173">
        <f t="shared" si="12"/>
        <v>0.19399793821708333</v>
      </c>
    </row>
    <row r="46" spans="1:18" ht="15" customHeight="1" outlineLevel="1" thickBot="1">
      <c r="A46" s="83"/>
      <c r="B46" s="83"/>
      <c r="C46" s="84"/>
      <c r="D46" s="85"/>
      <c r="E46" s="210" t="s">
        <v>183</v>
      </c>
      <c r="F46" s="211"/>
      <c r="G46" s="211" t="s">
        <v>107</v>
      </c>
      <c r="H46" s="244">
        <f xml:space="preserve"> SUM(J46:W46)</f>
        <v>-1.2869411393859338</v>
      </c>
      <c r="I46" s="245"/>
      <c r="J46" s="244">
        <f xml:space="preserve"> IF( J44 &lt; 4, J45 * K43 * L43, 0 )</f>
        <v>0</v>
      </c>
      <c r="K46" s="244">
        <f t="shared" ref="K46:R46" si="13" xml:space="preserve"> IF( K44 &lt; 4, K45 * L43 * M43, 0 )</f>
        <v>0</v>
      </c>
      <c r="L46" s="244">
        <f t="shared" si="13"/>
        <v>0</v>
      </c>
      <c r="M46" s="244">
        <f t="shared" si="13"/>
        <v>0</v>
      </c>
      <c r="N46" s="244">
        <f t="shared" si="13"/>
        <v>1.8039488601008242</v>
      </c>
      <c r="O46" s="244">
        <f t="shared" si="13"/>
        <v>-2.9942833438520311</v>
      </c>
      <c r="P46" s="244">
        <f t="shared" si="13"/>
        <v>-9.6606655634726951E-2</v>
      </c>
      <c r="Q46" s="244">
        <f t="shared" si="13"/>
        <v>0</v>
      </c>
      <c r="R46" s="244">
        <f t="shared" si="13"/>
        <v>0</v>
      </c>
    </row>
    <row r="47" spans="1:18" ht="15" customHeight="1" outlineLevel="1" thickTop="1">
      <c r="A47" s="83"/>
      <c r="B47" s="83"/>
      <c r="C47" s="84"/>
      <c r="D47" s="85"/>
      <c r="E47" s="166"/>
      <c r="F47" s="27"/>
      <c r="G47" s="27"/>
      <c r="H47" s="205"/>
      <c r="I47" s="212"/>
      <c r="J47" s="205"/>
      <c r="K47" s="205"/>
      <c r="L47" s="205"/>
      <c r="M47" s="205"/>
      <c r="N47" s="205"/>
      <c r="O47" s="205"/>
      <c r="P47" s="205"/>
      <c r="Q47" s="205"/>
      <c r="R47" s="205"/>
    </row>
    <row r="48" spans="1:18" ht="15" customHeight="1" outlineLevel="1">
      <c r="A48" s="164"/>
      <c r="B48" s="164" t="s">
        <v>184</v>
      </c>
      <c r="C48" s="165"/>
      <c r="D48" s="194"/>
      <c r="E48" s="166"/>
      <c r="F48" s="166"/>
      <c r="G48" s="166"/>
      <c r="H48" s="166"/>
      <c r="I48" s="23"/>
      <c r="J48" s="131"/>
      <c r="K48" s="131"/>
      <c r="L48" s="126"/>
      <c r="M48" s="126"/>
      <c r="N48" s="126"/>
      <c r="O48" s="126"/>
      <c r="P48" s="126"/>
      <c r="Q48" s="126"/>
      <c r="R48" s="126"/>
    </row>
    <row r="49" spans="1:18" ht="15" customHeight="1" outlineLevel="1">
      <c r="A49" s="164"/>
      <c r="B49" s="164"/>
      <c r="C49" s="165"/>
      <c r="D49" s="194"/>
      <c r="E49" s="166"/>
      <c r="F49" s="166"/>
      <c r="G49" s="166"/>
      <c r="H49" s="166"/>
      <c r="I49" s="23"/>
      <c r="J49" s="131"/>
      <c r="K49" s="131"/>
      <c r="L49" s="126"/>
      <c r="M49" s="126"/>
      <c r="N49" s="126"/>
      <c r="O49" s="126"/>
      <c r="P49" s="126"/>
      <c r="Q49" s="126"/>
      <c r="R49" s="126"/>
    </row>
    <row r="50" spans="1:18" ht="15" customHeight="1" outlineLevel="1">
      <c r="A50" s="200"/>
      <c r="B50" s="208"/>
      <c r="C50" s="201"/>
      <c r="D50" s="205"/>
      <c r="E50" s="209" t="str">
        <f xml:space="preserve"> Index!E$26</f>
        <v>CPIH Nov-Nov - percentage increase - CALC</v>
      </c>
      <c r="F50" s="193">
        <f xml:space="preserve"> Index!F$26</f>
        <v>0</v>
      </c>
      <c r="G50" s="193">
        <f xml:space="preserve"> Index!G$26</f>
        <v>0</v>
      </c>
      <c r="H50" s="193">
        <f xml:space="preserve"> Index!H$26</f>
        <v>0</v>
      </c>
      <c r="I50" s="193">
        <f xml:space="preserve"> Index!I$26</f>
        <v>0</v>
      </c>
      <c r="J50" s="193">
        <f xml:space="preserve"> Index!J$26</f>
        <v>0</v>
      </c>
      <c r="K50" s="193">
        <f xml:space="preserve"> Index!K$26</f>
        <v>0</v>
      </c>
      <c r="L50" s="193">
        <f xml:space="preserve"> Index!L$26</f>
        <v>1.0284872298624754</v>
      </c>
      <c r="M50" s="193">
        <f xml:space="preserve"> Index!M$26</f>
        <v>1.0210124164278893</v>
      </c>
      <c r="N50" s="193">
        <f xml:space="preserve"> Index!N$26</f>
        <v>1.0149672591206733</v>
      </c>
      <c r="O50" s="193">
        <f xml:space="preserve"> Index!O$26</f>
        <v>1.0055299539170506</v>
      </c>
      <c r="P50" s="193">
        <f xml:space="preserve"> Index!P$26</f>
        <v>1.0458295142071494</v>
      </c>
      <c r="Q50" s="193">
        <f xml:space="preserve"> Index!Q$26</f>
        <v>1.0937773882559159</v>
      </c>
      <c r="R50" s="193">
        <f xml:space="preserve"> Index!R$26</f>
        <v>1.0416666666666667</v>
      </c>
    </row>
    <row r="51" spans="1:18" ht="15" customHeight="1" outlineLevel="1">
      <c r="A51" s="200"/>
      <c r="B51" s="208"/>
      <c r="C51" s="201"/>
      <c r="D51" s="205"/>
      <c r="E51" s="209" t="str">
        <f xml:space="preserve"> Time!E$59</f>
        <v>Forecast period counter</v>
      </c>
      <c r="F51" s="209">
        <f xml:space="preserve"> Time!F$59</f>
        <v>0</v>
      </c>
      <c r="G51" s="209" t="str">
        <f xml:space="preserve"> Time!G$59</f>
        <v>counter</v>
      </c>
      <c r="H51" s="209">
        <f xml:space="preserve"> Time!H$59</f>
        <v>0</v>
      </c>
      <c r="I51" s="209">
        <f xml:space="preserve"> Time!I$59</f>
        <v>0</v>
      </c>
      <c r="J51" s="209">
        <f xml:space="preserve"> Time!J$59</f>
        <v>0</v>
      </c>
      <c r="K51" s="209">
        <f xml:space="preserve"> Time!K$59</f>
        <v>0</v>
      </c>
      <c r="L51" s="209">
        <f xml:space="preserve"> Time!L$59</f>
        <v>0</v>
      </c>
      <c r="M51" s="209">
        <f xml:space="preserve"> Time!M$59</f>
        <v>0</v>
      </c>
      <c r="N51" s="209">
        <f xml:space="preserve"> Time!N$59</f>
        <v>1</v>
      </c>
      <c r="O51" s="209">
        <f xml:space="preserve"> Time!O$59</f>
        <v>2</v>
      </c>
      <c r="P51" s="209">
        <f xml:space="preserve"> Time!P$59</f>
        <v>3</v>
      </c>
      <c r="Q51" s="209">
        <f xml:space="preserve"> Time!Q$59</f>
        <v>4</v>
      </c>
      <c r="R51" s="209">
        <f xml:space="preserve"> Time!R$59</f>
        <v>5</v>
      </c>
    </row>
    <row r="52" spans="1:18" ht="15" customHeight="1" outlineLevel="1">
      <c r="A52" s="23"/>
      <c r="B52" s="23"/>
      <c r="C52" s="25"/>
      <c r="D52" s="213"/>
      <c r="E52" s="214" t="str">
        <f xml:space="preserve"> InputsR!E$21</f>
        <v>Profit from bioresources trading</v>
      </c>
      <c r="F52" s="214">
        <f xml:space="preserve"> InputsR!F$21</f>
        <v>0</v>
      </c>
      <c r="G52" s="214" t="str">
        <f xml:space="preserve"> InputsR!G$21</f>
        <v>£m</v>
      </c>
      <c r="H52" s="261">
        <f xml:space="preserve"> InputsR!H$21</f>
        <v>2.611E-3</v>
      </c>
      <c r="I52" s="261">
        <f xml:space="preserve"> InputsR!I$21</f>
        <v>0</v>
      </c>
      <c r="J52" s="261">
        <f xml:space="preserve"> InputsR!J$21</f>
        <v>0</v>
      </c>
      <c r="K52" s="261">
        <f xml:space="preserve"> InputsR!K$21</f>
        <v>0</v>
      </c>
      <c r="L52" s="261">
        <f xml:space="preserve"> InputsR!L$21</f>
        <v>0</v>
      </c>
      <c r="M52" s="261">
        <f xml:space="preserve"> InputsR!M$21</f>
        <v>0</v>
      </c>
      <c r="N52" s="261">
        <f xml:space="preserve"> InputsR!N$21</f>
        <v>2.611E-3</v>
      </c>
      <c r="O52" s="261">
        <f xml:space="preserve"> InputsR!O$21</f>
        <v>0</v>
      </c>
      <c r="P52" s="261">
        <f xml:space="preserve"> InputsR!P$21</f>
        <v>0</v>
      </c>
      <c r="Q52" s="261">
        <f xml:space="preserve"> InputsR!Q$21</f>
        <v>0</v>
      </c>
      <c r="R52" s="261">
        <f xml:space="preserve"> InputsR!R$21</f>
        <v>0</v>
      </c>
    </row>
    <row r="53" spans="1:18" ht="15" customHeight="1" outlineLevel="1" thickBot="1">
      <c r="A53" s="215"/>
      <c r="B53" s="215"/>
      <c r="C53" s="216"/>
      <c r="D53" s="202"/>
      <c r="E53" s="217" t="s">
        <v>185</v>
      </c>
      <c r="F53" s="217"/>
      <c r="G53" s="217" t="s">
        <v>107</v>
      </c>
      <c r="H53" s="244">
        <f xml:space="preserve"> SUM(J53:W53)</f>
        <v>2.7457612903225804E-3</v>
      </c>
      <c r="I53" s="217"/>
      <c r="J53" s="244">
        <f xml:space="preserve"> IF( J51 &lt; 4, J52 * K50 * L50, 0 )</f>
        <v>0</v>
      </c>
      <c r="K53" s="244">
        <f t="shared" ref="K53:R53" si="14" xml:space="preserve"> IF( K51 &lt; 4, K52 * L50 * M50, 0 )</f>
        <v>0</v>
      </c>
      <c r="L53" s="244">
        <f t="shared" si="14"/>
        <v>0</v>
      </c>
      <c r="M53" s="244">
        <f t="shared" si="14"/>
        <v>0</v>
      </c>
      <c r="N53" s="244">
        <f t="shared" si="14"/>
        <v>2.7457612903225804E-3</v>
      </c>
      <c r="O53" s="244">
        <f t="shared" si="14"/>
        <v>0</v>
      </c>
      <c r="P53" s="244">
        <f t="shared" si="14"/>
        <v>0</v>
      </c>
      <c r="Q53" s="244">
        <f t="shared" si="14"/>
        <v>0</v>
      </c>
      <c r="R53" s="244">
        <f t="shared" si="14"/>
        <v>0</v>
      </c>
    </row>
    <row r="54" spans="1:18" ht="15" customHeight="1" outlineLevel="1" thickTop="1">
      <c r="A54" s="195"/>
      <c r="B54" s="195"/>
      <c r="C54" s="196"/>
      <c r="D54" s="218"/>
      <c r="E54" s="219"/>
      <c r="F54" s="219"/>
      <c r="G54" s="219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18" ht="15" customHeight="1" outlineLevel="1">
      <c r="A55" s="164"/>
      <c r="B55" s="164" t="s">
        <v>186</v>
      </c>
      <c r="C55" s="165"/>
      <c r="D55" s="194"/>
      <c r="E55" s="166"/>
      <c r="F55" s="166"/>
      <c r="G55" s="166"/>
      <c r="H55" s="166"/>
      <c r="I55" s="23"/>
      <c r="J55" s="23"/>
      <c r="K55" s="131"/>
      <c r="L55" s="126"/>
      <c r="M55" s="126"/>
      <c r="N55" s="126"/>
      <c r="O55" s="126"/>
      <c r="P55" s="126"/>
      <c r="Q55" s="126"/>
      <c r="R55" s="126"/>
    </row>
    <row r="56" spans="1:18" ht="15" customHeight="1" outlineLevel="1">
      <c r="A56" s="164"/>
      <c r="B56" s="164"/>
      <c r="C56" s="165"/>
      <c r="D56" s="194"/>
      <c r="E56" s="166"/>
      <c r="F56" s="166"/>
      <c r="G56" s="166"/>
      <c r="H56" s="166"/>
      <c r="I56" s="23"/>
      <c r="J56" s="23"/>
      <c r="K56" s="131"/>
      <c r="L56" s="126"/>
      <c r="M56" s="126"/>
      <c r="N56" s="126"/>
      <c r="O56" s="126"/>
      <c r="P56" s="126"/>
      <c r="Q56" s="126"/>
      <c r="R56" s="126"/>
    </row>
    <row r="57" spans="1:18" ht="15" customHeight="1" outlineLevel="1">
      <c r="A57" s="23"/>
      <c r="B57" s="23"/>
      <c r="C57" s="25"/>
      <c r="D57" s="213"/>
      <c r="E57" s="203" t="str">
        <f xml:space="preserve"> E$46</f>
        <v>Bioresources revenue adjustment (ABR) - with financing adjustment &amp; 2 year lag of inflation</v>
      </c>
      <c r="F57" s="203">
        <f t="shared" ref="F57:R57" si="15" xml:space="preserve"> F$46</f>
        <v>0</v>
      </c>
      <c r="G57" s="203" t="str">
        <f t="shared" si="15"/>
        <v>£m</v>
      </c>
      <c r="H57" s="203">
        <f t="shared" si="15"/>
        <v>-1.2869411393859338</v>
      </c>
      <c r="I57" s="203">
        <f t="shared" si="15"/>
        <v>0</v>
      </c>
      <c r="J57" s="203">
        <f t="shared" si="15"/>
        <v>0</v>
      </c>
      <c r="K57" s="203">
        <f t="shared" si="15"/>
        <v>0</v>
      </c>
      <c r="L57" s="203">
        <f t="shared" si="15"/>
        <v>0</v>
      </c>
      <c r="M57" s="203">
        <f t="shared" si="15"/>
        <v>0</v>
      </c>
      <c r="N57" s="203">
        <f t="shared" si="15"/>
        <v>1.8039488601008242</v>
      </c>
      <c r="O57" s="203">
        <f t="shared" si="15"/>
        <v>-2.9942833438520311</v>
      </c>
      <c r="P57" s="203">
        <f t="shared" si="15"/>
        <v>-9.6606655634726951E-2</v>
      </c>
      <c r="Q57" s="203">
        <f t="shared" si="15"/>
        <v>0</v>
      </c>
      <c r="R57" s="203">
        <f t="shared" si="15"/>
        <v>0</v>
      </c>
    </row>
    <row r="58" spans="1:18" ht="15" customHeight="1" outlineLevel="1">
      <c r="A58" s="23"/>
      <c r="B58" s="23"/>
      <c r="C58" s="25"/>
      <c r="D58" s="213"/>
      <c r="E58" s="203" t="str">
        <f xml:space="preserve"> E$53</f>
        <v>Profit from bioresources trading - with 2 year lag of inflation</v>
      </c>
      <c r="F58" s="203">
        <f t="shared" ref="F58:R58" si="16" xml:space="preserve"> F$53</f>
        <v>0</v>
      </c>
      <c r="G58" s="203" t="str">
        <f t="shared" si="16"/>
        <v>£m</v>
      </c>
      <c r="H58" s="203">
        <f t="shared" si="16"/>
        <v>2.7457612903225804E-3</v>
      </c>
      <c r="I58" s="203">
        <f t="shared" si="16"/>
        <v>0</v>
      </c>
      <c r="J58" s="203">
        <f t="shared" si="16"/>
        <v>0</v>
      </c>
      <c r="K58" s="203">
        <f t="shared" si="16"/>
        <v>0</v>
      </c>
      <c r="L58" s="203">
        <f t="shared" si="16"/>
        <v>0</v>
      </c>
      <c r="M58" s="203">
        <f t="shared" si="16"/>
        <v>0</v>
      </c>
      <c r="N58" s="203">
        <f t="shared" si="16"/>
        <v>2.7457612903225804E-3</v>
      </c>
      <c r="O58" s="203">
        <f t="shared" si="16"/>
        <v>0</v>
      </c>
      <c r="P58" s="203">
        <f t="shared" si="16"/>
        <v>0</v>
      </c>
      <c r="Q58" s="203">
        <f t="shared" si="16"/>
        <v>0</v>
      </c>
      <c r="R58" s="203">
        <f t="shared" si="16"/>
        <v>0</v>
      </c>
    </row>
    <row r="59" spans="1:18" ht="15" customHeight="1" outlineLevel="1" thickBot="1">
      <c r="A59" s="221"/>
      <c r="B59" s="221"/>
      <c r="C59" s="221"/>
      <c r="D59" s="222"/>
      <c r="E59" s="223" t="s">
        <v>187</v>
      </c>
      <c r="F59" s="224"/>
      <c r="G59" s="225" t="s">
        <v>107</v>
      </c>
      <c r="H59" s="244">
        <f xml:space="preserve"> SUM(J59:W59)</f>
        <v>1.2841953780956112</v>
      </c>
      <c r="I59" s="223"/>
      <c r="J59" s="223">
        <f xml:space="preserve"> - J57 - J58</f>
        <v>0</v>
      </c>
      <c r="K59" s="223">
        <f t="shared" ref="K59:R59" si="17" xml:space="preserve"> - K57 - K58</f>
        <v>0</v>
      </c>
      <c r="L59" s="223">
        <f t="shared" si="17"/>
        <v>0</v>
      </c>
      <c r="M59" s="223">
        <f t="shared" si="17"/>
        <v>0</v>
      </c>
      <c r="N59" s="223">
        <f xml:space="preserve"> - N57 - N58</f>
        <v>-1.8066946213911468</v>
      </c>
      <c r="O59" s="223">
        <f t="shared" si="17"/>
        <v>2.9942833438520311</v>
      </c>
      <c r="P59" s="223">
        <f t="shared" si="17"/>
        <v>9.6606655634726951E-2</v>
      </c>
      <c r="Q59" s="223">
        <f t="shared" si="17"/>
        <v>0</v>
      </c>
      <c r="R59" s="223">
        <f t="shared" si="17"/>
        <v>0</v>
      </c>
    </row>
    <row r="60" spans="1:18" ht="15" customHeight="1" outlineLevel="1" thickTop="1">
      <c r="A60" s="226"/>
      <c r="B60" s="226"/>
      <c r="C60" s="186"/>
      <c r="D60" s="227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</row>
    <row r="61" spans="1:18" ht="15" customHeight="1" outlineLevel="1">
      <c r="A61" s="164"/>
      <c r="B61" s="164" t="s">
        <v>188</v>
      </c>
      <c r="C61" s="165"/>
      <c r="D61" s="194"/>
      <c r="E61" s="166"/>
      <c r="F61" s="166"/>
      <c r="G61" s="166"/>
      <c r="H61" s="166"/>
      <c r="I61" s="23"/>
      <c r="J61" s="131"/>
      <c r="K61" s="131"/>
      <c r="L61" s="126"/>
      <c r="M61" s="126"/>
      <c r="N61" s="126"/>
      <c r="O61" s="126"/>
      <c r="P61" s="126"/>
      <c r="Q61" s="126"/>
      <c r="R61" s="126"/>
    </row>
    <row r="62" spans="1:18" ht="15" customHeight="1" outlineLevel="1">
      <c r="A62" s="164"/>
      <c r="B62" s="164"/>
      <c r="C62" s="165"/>
      <c r="D62" s="194"/>
      <c r="E62" s="166"/>
      <c r="F62" s="166"/>
      <c r="G62" s="166"/>
      <c r="H62" s="166"/>
      <c r="I62" s="23"/>
      <c r="J62" s="131"/>
      <c r="K62" s="131"/>
      <c r="L62" s="126"/>
      <c r="M62" s="126"/>
      <c r="N62" s="126"/>
      <c r="O62" s="126"/>
      <c r="P62" s="126"/>
      <c r="Q62" s="126"/>
      <c r="R62" s="126"/>
    </row>
    <row r="63" spans="1:18" ht="15" customHeight="1" outlineLevel="1">
      <c r="A63" s="23"/>
      <c r="B63" s="23"/>
      <c r="C63" s="25"/>
      <c r="D63" s="213"/>
      <c r="E63" s="203" t="str">
        <f xml:space="preserve"> E$59</f>
        <v>Total revenue adjustment</v>
      </c>
      <c r="F63" s="203">
        <f t="shared" ref="F63:R63" si="18" xml:space="preserve"> F$59</f>
        <v>0</v>
      </c>
      <c r="G63" s="203" t="str">
        <f t="shared" si="18"/>
        <v>£m</v>
      </c>
      <c r="H63" s="203">
        <f t="shared" si="18"/>
        <v>1.2841953780956112</v>
      </c>
      <c r="I63" s="203">
        <f t="shared" si="18"/>
        <v>0</v>
      </c>
      <c r="J63" s="203">
        <f t="shared" si="18"/>
        <v>0</v>
      </c>
      <c r="K63" s="203">
        <f t="shared" si="18"/>
        <v>0</v>
      </c>
      <c r="L63" s="203">
        <f t="shared" si="18"/>
        <v>0</v>
      </c>
      <c r="M63" s="203">
        <f t="shared" si="18"/>
        <v>0</v>
      </c>
      <c r="N63" s="203">
        <f t="shared" si="18"/>
        <v>-1.8066946213911468</v>
      </c>
      <c r="O63" s="203">
        <f t="shared" si="18"/>
        <v>2.9942833438520311</v>
      </c>
      <c r="P63" s="203">
        <f t="shared" si="18"/>
        <v>9.6606655634726951E-2</v>
      </c>
      <c r="Q63" s="203">
        <f t="shared" si="18"/>
        <v>0</v>
      </c>
      <c r="R63" s="203">
        <f t="shared" si="18"/>
        <v>0</v>
      </c>
    </row>
    <row r="64" spans="1:18" ht="15" customHeight="1" outlineLevel="1">
      <c r="A64" s="200"/>
      <c r="B64" s="208"/>
      <c r="C64" s="201"/>
      <c r="D64" s="205"/>
      <c r="E64" s="209" t="str">
        <f xml:space="preserve"> Time!E$50</f>
        <v>Forecast Period Flag</v>
      </c>
      <c r="F64" s="209">
        <f xml:space="preserve"> Time!F$50</f>
        <v>0</v>
      </c>
      <c r="G64" s="209" t="str">
        <f xml:space="preserve"> Time!G$50</f>
        <v>flag</v>
      </c>
      <c r="H64" s="209">
        <f xml:space="preserve"> Time!H$50</f>
        <v>5</v>
      </c>
      <c r="I64" s="209">
        <f xml:space="preserve"> Time!I$50</f>
        <v>0</v>
      </c>
      <c r="J64" s="209">
        <f xml:space="preserve"> Time!J$50</f>
        <v>0</v>
      </c>
      <c r="K64" s="209">
        <f xml:space="preserve"> Time!K$50</f>
        <v>0</v>
      </c>
      <c r="L64" s="209">
        <f xml:space="preserve"> Time!L$50</f>
        <v>0</v>
      </c>
      <c r="M64" s="209">
        <f xml:space="preserve"> Time!M$50</f>
        <v>0</v>
      </c>
      <c r="N64" s="209">
        <f xml:space="preserve"> Time!N$50</f>
        <v>1</v>
      </c>
      <c r="O64" s="209">
        <f xml:space="preserve"> Time!O$50</f>
        <v>1</v>
      </c>
      <c r="P64" s="209">
        <f xml:space="preserve"> Time!P$50</f>
        <v>1</v>
      </c>
      <c r="Q64" s="209">
        <f xml:space="preserve"> Time!Q$50</f>
        <v>1</v>
      </c>
      <c r="R64" s="209">
        <f xml:space="preserve"> Time!R$50</f>
        <v>1</v>
      </c>
    </row>
    <row r="65" spans="1:18" ht="15" customHeight="1" outlineLevel="1">
      <c r="A65" s="229"/>
      <c r="B65" s="229"/>
      <c r="C65" s="221"/>
      <c r="D65" s="222"/>
      <c r="E65" s="206" t="s">
        <v>189</v>
      </c>
      <c r="F65" s="206" t="s">
        <v>190</v>
      </c>
      <c r="G65" s="206" t="s">
        <v>107</v>
      </c>
      <c r="H65" s="246">
        <f>SUM(J65:U65)</f>
        <v>1.2841953780956112</v>
      </c>
      <c r="I65" s="246"/>
      <c r="J65" s="247"/>
      <c r="K65" s="246">
        <f xml:space="preserve"> I63 * K64</f>
        <v>0</v>
      </c>
      <c r="L65" s="246">
        <f t="shared" ref="L65:R65" si="19" xml:space="preserve"> J63 * L64</f>
        <v>0</v>
      </c>
      <c r="M65" s="246">
        <f t="shared" si="19"/>
        <v>0</v>
      </c>
      <c r="N65" s="246">
        <f t="shared" si="19"/>
        <v>0</v>
      </c>
      <c r="O65" s="246">
        <f t="shared" si="19"/>
        <v>0</v>
      </c>
      <c r="P65" s="246">
        <f t="shared" si="19"/>
        <v>-1.8066946213911468</v>
      </c>
      <c r="Q65" s="246">
        <f t="shared" si="19"/>
        <v>2.9942833438520311</v>
      </c>
      <c r="R65" s="246">
        <f t="shared" si="19"/>
        <v>9.6606655634726951E-2</v>
      </c>
    </row>
    <row r="66" spans="1:18" ht="15" customHeight="1">
      <c r="A66" s="226"/>
      <c r="B66" s="226"/>
      <c r="C66" s="186"/>
      <c r="D66" s="227"/>
      <c r="E66" s="228"/>
      <c r="F66" s="203"/>
      <c r="G66" s="228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</row>
    <row r="67" spans="1:18" ht="15" customHeight="1">
      <c r="A67" s="80" t="s">
        <v>191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</row>
    <row r="68" spans="1:18" ht="15" customHeight="1" outlineLevel="1">
      <c r="A68" s="226"/>
      <c r="B68" s="226"/>
      <c r="C68" s="186"/>
      <c r="D68" s="227"/>
      <c r="E68" s="228"/>
      <c r="F68" s="203"/>
      <c r="G68" s="228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</row>
    <row r="69" spans="1:18" ht="15" customHeight="1" outlineLevel="1">
      <c r="A69" s="226"/>
      <c r="B69" s="83" t="s">
        <v>192</v>
      </c>
      <c r="C69" s="186"/>
      <c r="D69" s="227"/>
      <c r="E69" s="228"/>
      <c r="F69" s="203"/>
      <c r="G69" s="228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</row>
    <row r="70" spans="1:18" ht="15" customHeight="1" outlineLevel="1">
      <c r="A70" s="226"/>
      <c r="B70" s="226"/>
      <c r="C70" s="186"/>
      <c r="D70" s="227"/>
      <c r="E70" s="228"/>
      <c r="F70" s="203"/>
      <c r="G70" s="228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</row>
    <row r="71" spans="1:18" ht="15" customHeight="1" outlineLevel="1">
      <c r="A71" s="103"/>
      <c r="B71" s="83"/>
      <c r="C71" s="104"/>
      <c r="D71" s="85"/>
      <c r="E71" s="160" t="str">
        <f xml:space="preserve"> InputsR!E$23</f>
        <v>Discount rate</v>
      </c>
      <c r="F71" s="160">
        <f xml:space="preserve"> InputsR!F$23</f>
        <v>3.1199800000000003E-2</v>
      </c>
      <c r="G71" s="160" t="str">
        <f xml:space="preserve"> InputsR!G$23</f>
        <v>%</v>
      </c>
      <c r="H71" s="160">
        <f xml:space="preserve"> InputsR!H$23</f>
        <v>0</v>
      </c>
      <c r="I71" s="160">
        <f xml:space="preserve"> InputsR!I$23</f>
        <v>0</v>
      </c>
      <c r="J71" s="160">
        <f xml:space="preserve"> InputsR!J$23</f>
        <v>0</v>
      </c>
      <c r="K71" s="160">
        <f xml:space="preserve"> InputsR!K$23</f>
        <v>0</v>
      </c>
      <c r="L71" s="160">
        <f xml:space="preserve"> InputsR!L$23</f>
        <v>0</v>
      </c>
      <c r="M71" s="160">
        <f xml:space="preserve"> InputsR!M$23</f>
        <v>0</v>
      </c>
      <c r="N71" s="160">
        <f xml:space="preserve"> InputsR!N$23</f>
        <v>0</v>
      </c>
      <c r="O71" s="160">
        <f xml:space="preserve"> InputsR!O$23</f>
        <v>0</v>
      </c>
      <c r="P71" s="160">
        <f xml:space="preserve"> InputsR!P$23</f>
        <v>0</v>
      </c>
      <c r="Q71" s="160">
        <f xml:space="preserve"> InputsR!Q$23</f>
        <v>0</v>
      </c>
      <c r="R71" s="160">
        <f xml:space="preserve"> InputsR!R$23</f>
        <v>0</v>
      </c>
    </row>
    <row r="72" spans="1:18" ht="15" customHeight="1" outlineLevel="1">
      <c r="A72" s="200"/>
      <c r="B72" s="208"/>
      <c r="C72" s="201"/>
      <c r="D72" s="205"/>
      <c r="E72" s="209" t="str">
        <f xml:space="preserve"> Index!E$26</f>
        <v>CPIH Nov-Nov - percentage increase - CALC</v>
      </c>
      <c r="F72" s="193">
        <f xml:space="preserve"> Index!F$26</f>
        <v>0</v>
      </c>
      <c r="G72" s="193">
        <f xml:space="preserve"> Index!G$26</f>
        <v>0</v>
      </c>
      <c r="H72" s="193">
        <f xml:space="preserve"> Index!H$26</f>
        <v>0</v>
      </c>
      <c r="I72" s="193">
        <f xml:space="preserve"> Index!I$26</f>
        <v>0</v>
      </c>
      <c r="J72" s="193">
        <f xml:space="preserve"> Index!J$26</f>
        <v>0</v>
      </c>
      <c r="K72" s="193">
        <f xml:space="preserve"> Index!K$26</f>
        <v>0</v>
      </c>
      <c r="L72" s="193">
        <f xml:space="preserve"> Index!L$26</f>
        <v>1.0284872298624754</v>
      </c>
      <c r="M72" s="193">
        <f xml:space="preserve"> Index!M$26</f>
        <v>1.0210124164278893</v>
      </c>
      <c r="N72" s="193">
        <f xml:space="preserve"> Index!N$26</f>
        <v>1.0149672591206733</v>
      </c>
      <c r="O72" s="193">
        <f xml:space="preserve"> Index!O$26</f>
        <v>1.0055299539170506</v>
      </c>
      <c r="P72" s="193">
        <f xml:space="preserve"> Index!P$26</f>
        <v>1.0458295142071494</v>
      </c>
      <c r="Q72" s="193">
        <f xml:space="preserve"> Index!Q$26</f>
        <v>1.0937773882559159</v>
      </c>
      <c r="R72" s="193">
        <f xml:space="preserve"> Index!R$26</f>
        <v>1.0416666666666667</v>
      </c>
    </row>
    <row r="73" spans="1:18" ht="15" customHeight="1" outlineLevel="1">
      <c r="A73" s="208"/>
      <c r="B73" s="208"/>
      <c r="C73" s="201"/>
      <c r="D73" s="205"/>
      <c r="E73" s="202" t="str">
        <f xml:space="preserve"> E$40</f>
        <v>Revenue imbalance</v>
      </c>
      <c r="F73" s="202">
        <f t="shared" ref="F73:R73" si="20" xml:space="preserve"> F$40</f>
        <v>0</v>
      </c>
      <c r="G73" s="202" t="str">
        <f t="shared" si="20"/>
        <v>£m</v>
      </c>
      <c r="H73" s="202">
        <f t="shared" si="20"/>
        <v>-0.23458526704827065</v>
      </c>
      <c r="I73" s="202">
        <f t="shared" si="20"/>
        <v>0</v>
      </c>
      <c r="J73" s="202">
        <f t="shared" si="20"/>
        <v>0</v>
      </c>
      <c r="K73" s="202">
        <f t="shared" si="20"/>
        <v>0</v>
      </c>
      <c r="L73" s="202">
        <f t="shared" si="20"/>
        <v>0</v>
      </c>
      <c r="M73" s="202">
        <f t="shared" si="20"/>
        <v>0</v>
      </c>
      <c r="N73" s="202">
        <f t="shared" si="20"/>
        <v>1.6131794284217769</v>
      </c>
      <c r="O73" s="202">
        <f t="shared" si="20"/>
        <v>-2.4615996387225607</v>
      </c>
      <c r="P73" s="202">
        <f t="shared" si="20"/>
        <v>-7.9737699121658068E-2</v>
      </c>
      <c r="Q73" s="202">
        <f t="shared" si="20"/>
        <v>0.51113625063164392</v>
      </c>
      <c r="R73" s="202">
        <f t="shared" si="20"/>
        <v>0.18243639174252735</v>
      </c>
    </row>
    <row r="74" spans="1:18" ht="15" customHeight="1" outlineLevel="1">
      <c r="A74" s="232"/>
      <c r="B74" s="232"/>
      <c r="C74" s="233"/>
      <c r="D74" s="220"/>
      <c r="E74" s="234" t="str">
        <f xml:space="preserve"> Time!E$46</f>
        <v>Last Forecast Period Flag</v>
      </c>
      <c r="F74" s="234">
        <f xml:space="preserve"> Time!F$46</f>
        <v>0</v>
      </c>
      <c r="G74" s="234" t="str">
        <f xml:space="preserve"> Time!G$46</f>
        <v>flag</v>
      </c>
      <c r="H74" s="234">
        <f xml:space="preserve"> Time!H$46</f>
        <v>1</v>
      </c>
      <c r="I74" s="234">
        <f xml:space="preserve"> Time!I$46</f>
        <v>0</v>
      </c>
      <c r="J74" s="234">
        <f xml:space="preserve"> Time!J$46</f>
        <v>0</v>
      </c>
      <c r="K74" s="234">
        <f xml:space="preserve"> Time!K$46</f>
        <v>0</v>
      </c>
      <c r="L74" s="234">
        <f xml:space="preserve"> Time!L$46</f>
        <v>0</v>
      </c>
      <c r="M74" s="234">
        <f xml:space="preserve"> Time!M$46</f>
        <v>0</v>
      </c>
      <c r="N74" s="234">
        <f xml:space="preserve"> Time!N$46</f>
        <v>0</v>
      </c>
      <c r="O74" s="234">
        <f xml:space="preserve"> Time!O$46</f>
        <v>0</v>
      </c>
      <c r="P74" s="234">
        <f xml:space="preserve"> Time!P$46</f>
        <v>0</v>
      </c>
      <c r="Q74" s="234">
        <f xml:space="preserve"> Time!Q$46</f>
        <v>0</v>
      </c>
      <c r="R74" s="234">
        <f xml:space="preserve"> Time!R$46</f>
        <v>1</v>
      </c>
    </row>
    <row r="75" spans="1:18" ht="15" customHeight="1" outlineLevel="1">
      <c r="A75" s="208"/>
      <c r="B75" s="208"/>
      <c r="C75" s="201"/>
      <c r="D75" s="205"/>
      <c r="E75" s="166" t="s">
        <v>193</v>
      </c>
      <c r="F75" s="202"/>
      <c r="G75" s="202" t="s">
        <v>107</v>
      </c>
      <c r="H75" s="206">
        <f xml:space="preserve"> SUM( J75:U75 )</f>
        <v>-0.54904541606677204</v>
      </c>
      <c r="I75" s="202"/>
      <c r="J75" s="202">
        <f xml:space="preserve"> J74 * - I73 * ( 1 + $F$71 ) * J72</f>
        <v>0</v>
      </c>
      <c r="K75" s="202">
        <f t="shared" ref="K75:Q75" si="21" xml:space="preserve"> K74 * - J73 * ( 1 + $F$71 ) * K72</f>
        <v>0</v>
      </c>
      <c r="L75" s="202">
        <f t="shared" si="21"/>
        <v>0</v>
      </c>
      <c r="M75" s="202">
        <f t="shared" si="21"/>
        <v>0</v>
      </c>
      <c r="N75" s="202">
        <f t="shared" si="21"/>
        <v>0</v>
      </c>
      <c r="O75" s="202">
        <f t="shared" si="21"/>
        <v>0</v>
      </c>
      <c r="P75" s="202">
        <f t="shared" si="21"/>
        <v>0</v>
      </c>
      <c r="Q75" s="202">
        <f t="shared" si="21"/>
        <v>0</v>
      </c>
      <c r="R75" s="202">
        <f xml:space="preserve"> R74 * - Q73 * ( 1 + $F$71 ) * R72</f>
        <v>-0.54904541606677204</v>
      </c>
    </row>
    <row r="76" spans="1:18" ht="15" customHeight="1" outlineLevel="1">
      <c r="A76" s="208"/>
      <c r="B76" s="208"/>
      <c r="C76" s="201"/>
      <c r="D76" s="205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202"/>
    </row>
    <row r="77" spans="1:18" ht="15" customHeight="1" outlineLevel="1">
      <c r="A77" s="200"/>
      <c r="B77" s="208"/>
      <c r="C77" s="201"/>
      <c r="D77" s="205"/>
      <c r="E77" s="209" t="str">
        <f xml:space="preserve"> Index!E$26</f>
        <v>CPIH Nov-Nov - percentage increase - CALC</v>
      </c>
      <c r="F77" s="193">
        <f xml:space="preserve"> Index!F$26</f>
        <v>0</v>
      </c>
      <c r="G77" s="193">
        <f xml:space="preserve"> Index!G$26</f>
        <v>0</v>
      </c>
      <c r="H77" s="193">
        <f xml:space="preserve"> Index!H$26</f>
        <v>0</v>
      </c>
      <c r="I77" s="193">
        <f xml:space="preserve"> Index!I$26</f>
        <v>0</v>
      </c>
      <c r="J77" s="193">
        <f xml:space="preserve"> Index!J$26</f>
        <v>0</v>
      </c>
      <c r="K77" s="193">
        <f xml:space="preserve"> Index!K$26</f>
        <v>0</v>
      </c>
      <c r="L77" s="193">
        <f xml:space="preserve"> Index!L$26</f>
        <v>1.0284872298624754</v>
      </c>
      <c r="M77" s="193">
        <f xml:space="preserve"> Index!M$26</f>
        <v>1.0210124164278893</v>
      </c>
      <c r="N77" s="193">
        <f xml:space="preserve"> Index!N$26</f>
        <v>1.0149672591206733</v>
      </c>
      <c r="O77" s="193">
        <f xml:space="preserve"> Index!O$26</f>
        <v>1.0055299539170506</v>
      </c>
      <c r="P77" s="193">
        <f xml:space="preserve"> Index!P$26</f>
        <v>1.0458295142071494</v>
      </c>
      <c r="Q77" s="193">
        <f xml:space="preserve"> Index!Q$26</f>
        <v>1.0937773882559159</v>
      </c>
      <c r="R77" s="193">
        <f xml:space="preserve"> Index!R$26</f>
        <v>1.0416666666666667</v>
      </c>
    </row>
    <row r="78" spans="1:18" ht="15" customHeight="1" outlineLevel="1">
      <c r="A78" s="23"/>
      <c r="B78" s="23"/>
      <c r="C78" s="25"/>
      <c r="D78" s="213"/>
      <c r="E78" s="214" t="str">
        <f xml:space="preserve"> InputsR!E$21</f>
        <v>Profit from bioresources trading</v>
      </c>
      <c r="F78" s="214">
        <f xml:space="preserve"> InputsR!F$21</f>
        <v>0</v>
      </c>
      <c r="G78" s="214" t="str">
        <f xml:space="preserve"> InputsR!G$21</f>
        <v>£m</v>
      </c>
      <c r="H78" s="261">
        <f xml:space="preserve"> InputsR!H$21</f>
        <v>2.611E-3</v>
      </c>
      <c r="I78" s="261">
        <f xml:space="preserve"> InputsR!I$21</f>
        <v>0</v>
      </c>
      <c r="J78" s="261">
        <f xml:space="preserve"> InputsR!J$21</f>
        <v>0</v>
      </c>
      <c r="K78" s="261">
        <f xml:space="preserve"> InputsR!K$21</f>
        <v>0</v>
      </c>
      <c r="L78" s="261">
        <f xml:space="preserve"> InputsR!L$21</f>
        <v>0</v>
      </c>
      <c r="M78" s="261">
        <f xml:space="preserve"> InputsR!M$21</f>
        <v>0</v>
      </c>
      <c r="N78" s="261">
        <f xml:space="preserve"> InputsR!N$21</f>
        <v>2.611E-3</v>
      </c>
      <c r="O78" s="261">
        <f xml:space="preserve"> InputsR!O$21</f>
        <v>0</v>
      </c>
      <c r="P78" s="261">
        <f xml:space="preserve"> InputsR!P$21</f>
        <v>0</v>
      </c>
      <c r="Q78" s="261">
        <f xml:space="preserve"> InputsR!Q$21</f>
        <v>0</v>
      </c>
      <c r="R78" s="261">
        <f xml:space="preserve"> InputsR!R$21</f>
        <v>0</v>
      </c>
    </row>
    <row r="79" spans="1:18" ht="15" customHeight="1" outlineLevel="1">
      <c r="A79" s="232"/>
      <c r="B79" s="232"/>
      <c r="C79" s="233"/>
      <c r="D79" s="220"/>
      <c r="E79" s="234" t="str">
        <f xml:space="preserve"> Time!E$46</f>
        <v>Last Forecast Period Flag</v>
      </c>
      <c r="F79" s="234">
        <f xml:space="preserve"> Time!F$46</f>
        <v>0</v>
      </c>
      <c r="G79" s="234" t="str">
        <f xml:space="preserve"> Time!G$46</f>
        <v>flag</v>
      </c>
      <c r="H79" s="234">
        <f xml:space="preserve"> Time!H$46</f>
        <v>1</v>
      </c>
      <c r="I79" s="234">
        <f xml:space="preserve"> Time!I$46</f>
        <v>0</v>
      </c>
      <c r="J79" s="234">
        <f xml:space="preserve"> Time!J$46</f>
        <v>0</v>
      </c>
      <c r="K79" s="234">
        <f xml:space="preserve"> Time!K$46</f>
        <v>0</v>
      </c>
      <c r="L79" s="234">
        <f xml:space="preserve"> Time!L$46</f>
        <v>0</v>
      </c>
      <c r="M79" s="234">
        <f xml:space="preserve"> Time!M$46</f>
        <v>0</v>
      </c>
      <c r="N79" s="234">
        <f xml:space="preserve"> Time!N$46</f>
        <v>0</v>
      </c>
      <c r="O79" s="234">
        <f xml:space="preserve"> Time!O$46</f>
        <v>0</v>
      </c>
      <c r="P79" s="234">
        <f xml:space="preserve"> Time!P$46</f>
        <v>0</v>
      </c>
      <c r="Q79" s="234">
        <f xml:space="preserve"> Time!Q$46</f>
        <v>0</v>
      </c>
      <c r="R79" s="234">
        <f xml:space="preserve"> Time!R$46</f>
        <v>1</v>
      </c>
    </row>
    <row r="80" spans="1:18" ht="15" customHeight="1" outlineLevel="1">
      <c r="A80" s="229"/>
      <c r="B80" s="229"/>
      <c r="C80" s="221"/>
      <c r="D80" s="222"/>
      <c r="E80" s="206" t="s">
        <v>194</v>
      </c>
      <c r="F80" s="206"/>
      <c r="G80" s="206" t="s">
        <v>107</v>
      </c>
      <c r="H80" s="206">
        <f xml:space="preserve"> SUM( J80:U80 )</f>
        <v>0</v>
      </c>
      <c r="I80" s="206"/>
      <c r="J80" s="206">
        <f xml:space="preserve">  J79 * ( - I78 * J77 )</f>
        <v>0</v>
      </c>
      <c r="K80" s="206">
        <f t="shared" ref="K80:R80" si="22" xml:space="preserve">  K79 * ( - J78 * K77 )</f>
        <v>0</v>
      </c>
      <c r="L80" s="206">
        <f t="shared" si="22"/>
        <v>0</v>
      </c>
      <c r="M80" s="206">
        <f t="shared" si="22"/>
        <v>0</v>
      </c>
      <c r="N80" s="206">
        <f t="shared" si="22"/>
        <v>0</v>
      </c>
      <c r="O80" s="206">
        <f t="shared" si="22"/>
        <v>0</v>
      </c>
      <c r="P80" s="206">
        <f t="shared" si="22"/>
        <v>0</v>
      </c>
      <c r="Q80" s="206">
        <f t="shared" si="22"/>
        <v>0</v>
      </c>
      <c r="R80" s="206">
        <f t="shared" si="22"/>
        <v>0</v>
      </c>
    </row>
    <row r="81" spans="1:18" ht="15" customHeight="1" outlineLevel="1">
      <c r="A81" s="226"/>
      <c r="B81" s="226"/>
      <c r="C81" s="186"/>
      <c r="D81" s="227"/>
      <c r="E81" s="228"/>
      <c r="F81" s="203"/>
      <c r="G81" s="228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</row>
    <row r="82" spans="1:18" ht="15" customHeight="1" outlineLevel="1">
      <c r="A82" s="229"/>
      <c r="B82" s="229"/>
      <c r="C82" s="221"/>
      <c r="D82" s="222"/>
      <c r="E82" s="206" t="str">
        <f xml:space="preserve"> E$75</f>
        <v>Value of year 4 bioresources revenue adjustment (ABR) to be applied in PR24</v>
      </c>
      <c r="F82" s="206">
        <f t="shared" ref="F82:R82" si="23" xml:space="preserve"> F$75</f>
        <v>0</v>
      </c>
      <c r="G82" s="206" t="str">
        <f t="shared" si="23"/>
        <v>£m</v>
      </c>
      <c r="H82" s="206">
        <f t="shared" si="23"/>
        <v>-0.54904541606677204</v>
      </c>
      <c r="I82" s="206">
        <f t="shared" si="23"/>
        <v>0</v>
      </c>
      <c r="J82" s="206">
        <f t="shared" si="23"/>
        <v>0</v>
      </c>
      <c r="K82" s="206">
        <f t="shared" si="23"/>
        <v>0</v>
      </c>
      <c r="L82" s="206">
        <f t="shared" si="23"/>
        <v>0</v>
      </c>
      <c r="M82" s="206">
        <f t="shared" si="23"/>
        <v>0</v>
      </c>
      <c r="N82" s="206">
        <f t="shared" si="23"/>
        <v>0</v>
      </c>
      <c r="O82" s="206">
        <f t="shared" si="23"/>
        <v>0</v>
      </c>
      <c r="P82" s="206">
        <f t="shared" si="23"/>
        <v>0</v>
      </c>
      <c r="Q82" s="206">
        <f t="shared" si="23"/>
        <v>0</v>
      </c>
      <c r="R82" s="206">
        <f t="shared" si="23"/>
        <v>-0.54904541606677204</v>
      </c>
    </row>
    <row r="83" spans="1:18" ht="15" customHeight="1" outlineLevel="1">
      <c r="A83" s="229"/>
      <c r="B83" s="229"/>
      <c r="C83" s="221"/>
      <c r="D83" s="222"/>
      <c r="E83" s="206" t="str">
        <f xml:space="preserve"> E$80</f>
        <v>Value of other year 4 revenue adjustments to be applied in PR24</v>
      </c>
      <c r="F83" s="206">
        <f t="shared" ref="F83:R83" si="24" xml:space="preserve"> F$80</f>
        <v>0</v>
      </c>
      <c r="G83" s="206" t="str">
        <f t="shared" si="24"/>
        <v>£m</v>
      </c>
      <c r="H83" s="206">
        <f t="shared" si="24"/>
        <v>0</v>
      </c>
      <c r="I83" s="206">
        <f t="shared" si="24"/>
        <v>0</v>
      </c>
      <c r="J83" s="206">
        <f t="shared" si="24"/>
        <v>0</v>
      </c>
      <c r="K83" s="206">
        <f t="shared" si="24"/>
        <v>0</v>
      </c>
      <c r="L83" s="206">
        <f t="shared" si="24"/>
        <v>0</v>
      </c>
      <c r="M83" s="206">
        <f t="shared" si="24"/>
        <v>0</v>
      </c>
      <c r="N83" s="206">
        <f t="shared" si="24"/>
        <v>0</v>
      </c>
      <c r="O83" s="206">
        <f t="shared" si="24"/>
        <v>0</v>
      </c>
      <c r="P83" s="206">
        <f t="shared" si="24"/>
        <v>0</v>
      </c>
      <c r="Q83" s="206">
        <f t="shared" si="24"/>
        <v>0</v>
      </c>
      <c r="R83" s="206">
        <f t="shared" si="24"/>
        <v>0</v>
      </c>
    </row>
    <row r="84" spans="1:18" ht="15" customHeight="1" outlineLevel="1">
      <c r="A84" s="186"/>
      <c r="B84" s="186"/>
      <c r="C84" s="186"/>
      <c r="D84" s="227"/>
      <c r="E84" s="206" t="s">
        <v>195</v>
      </c>
      <c r="F84" s="206"/>
      <c r="G84" s="206" t="s">
        <v>107</v>
      </c>
      <c r="H84" s="206">
        <f xml:space="preserve"> SUM( J84:U84 )</f>
        <v>-0.54904541606677204</v>
      </c>
      <c r="I84" s="206"/>
      <c r="J84" s="206">
        <f xml:space="preserve"> J82 + J83</f>
        <v>0</v>
      </c>
      <c r="K84" s="206">
        <f xml:space="preserve"> K82 + K83</f>
        <v>0</v>
      </c>
      <c r="L84" s="206">
        <f t="shared" ref="L84:R84" si="25" xml:space="preserve"> L82 + L83</f>
        <v>0</v>
      </c>
      <c r="M84" s="206">
        <f t="shared" si="25"/>
        <v>0</v>
      </c>
      <c r="N84" s="206">
        <f xml:space="preserve"> N82 + N83</f>
        <v>0</v>
      </c>
      <c r="O84" s="206">
        <f t="shared" si="25"/>
        <v>0</v>
      </c>
      <c r="P84" s="206">
        <f t="shared" si="25"/>
        <v>0</v>
      </c>
      <c r="Q84" s="206">
        <f t="shared" si="25"/>
        <v>0</v>
      </c>
      <c r="R84" s="206">
        <f t="shared" si="25"/>
        <v>-0.54904541606677204</v>
      </c>
    </row>
    <row r="85" spans="1:18" ht="15" customHeight="1" outlineLevel="1">
      <c r="A85" s="229"/>
      <c r="B85" s="229"/>
      <c r="C85" s="221"/>
      <c r="D85" s="222"/>
      <c r="E85" s="206"/>
      <c r="F85" s="206"/>
      <c r="G85" s="206"/>
      <c r="H85" s="230"/>
      <c r="I85" s="230"/>
      <c r="J85" s="230"/>
      <c r="K85" s="230"/>
      <c r="L85" s="230"/>
      <c r="M85" s="230"/>
      <c r="N85" s="230"/>
      <c r="O85" s="230"/>
      <c r="P85" s="230"/>
      <c r="Q85" s="230"/>
      <c r="R85" s="230"/>
    </row>
    <row r="86" spans="1:18" ht="15" customHeight="1" outlineLevel="1">
      <c r="A86" s="229"/>
      <c r="B86" s="83" t="s">
        <v>196</v>
      </c>
      <c r="C86" s="221"/>
      <c r="D86" s="222"/>
      <c r="E86" s="206"/>
      <c r="F86" s="206"/>
      <c r="G86" s="206"/>
      <c r="H86" s="230"/>
      <c r="I86" s="230"/>
      <c r="J86" s="230"/>
      <c r="K86" s="230"/>
      <c r="L86" s="230"/>
      <c r="M86" s="230"/>
      <c r="N86" s="230"/>
      <c r="O86" s="230"/>
      <c r="P86" s="230"/>
      <c r="Q86" s="230"/>
      <c r="R86" s="230"/>
    </row>
    <row r="87" spans="1:18" ht="15" customHeight="1" outlineLevel="1">
      <c r="A87" s="229"/>
      <c r="B87" s="229"/>
      <c r="C87" s="221"/>
      <c r="D87" s="222"/>
      <c r="E87" s="206"/>
      <c r="F87" s="206"/>
      <c r="G87" s="206"/>
      <c r="H87" s="230"/>
      <c r="I87" s="230"/>
      <c r="J87" s="230"/>
      <c r="K87" s="230"/>
      <c r="L87" s="230"/>
      <c r="M87" s="230"/>
      <c r="N87" s="230"/>
      <c r="O87" s="230"/>
      <c r="P87" s="230"/>
      <c r="Q87" s="230"/>
      <c r="R87" s="230"/>
    </row>
    <row r="88" spans="1:18" ht="15" customHeight="1" outlineLevel="1">
      <c r="A88" s="248"/>
      <c r="B88" s="248"/>
      <c r="C88" s="249"/>
      <c r="D88" s="222"/>
      <c r="E88" s="250" t="str">
        <f xml:space="preserve"> E$40</f>
        <v>Revenue imbalance</v>
      </c>
      <c r="F88" s="250">
        <f t="shared" ref="F88:R88" si="26" xml:space="preserve"> F$40</f>
        <v>0</v>
      </c>
      <c r="G88" s="250" t="str">
        <f t="shared" si="26"/>
        <v>£m</v>
      </c>
      <c r="H88" s="250">
        <f t="shared" si="26"/>
        <v>-0.23458526704827065</v>
      </c>
      <c r="I88" s="250">
        <f t="shared" si="26"/>
        <v>0</v>
      </c>
      <c r="J88" s="250">
        <f t="shared" si="26"/>
        <v>0</v>
      </c>
      <c r="K88" s="250">
        <f t="shared" si="26"/>
        <v>0</v>
      </c>
      <c r="L88" s="250">
        <f t="shared" si="26"/>
        <v>0</v>
      </c>
      <c r="M88" s="250">
        <f t="shared" si="26"/>
        <v>0</v>
      </c>
      <c r="N88" s="250">
        <f t="shared" si="26"/>
        <v>1.6131794284217769</v>
      </c>
      <c r="O88" s="250">
        <f t="shared" si="26"/>
        <v>-2.4615996387225607</v>
      </c>
      <c r="P88" s="250">
        <f t="shared" si="26"/>
        <v>-7.9737699121658068E-2</v>
      </c>
      <c r="Q88" s="250">
        <f t="shared" si="26"/>
        <v>0.51113625063164392</v>
      </c>
      <c r="R88" s="250">
        <f t="shared" si="26"/>
        <v>0.18243639174252735</v>
      </c>
    </row>
    <row r="89" spans="1:18" ht="15" customHeight="1" outlineLevel="1">
      <c r="A89" s="23"/>
      <c r="B89" s="23"/>
      <c r="C89" s="25"/>
      <c r="D89" s="213"/>
      <c r="E89" s="214" t="str">
        <f xml:space="preserve"> InputsR!E$21</f>
        <v>Profit from bioresources trading</v>
      </c>
      <c r="F89" s="214">
        <f xml:space="preserve"> InputsR!F$21</f>
        <v>0</v>
      </c>
      <c r="G89" s="214" t="str">
        <f xml:space="preserve"> InputsR!G$21</f>
        <v>£m</v>
      </c>
      <c r="H89" s="261">
        <f xml:space="preserve"> InputsR!H$21</f>
        <v>2.611E-3</v>
      </c>
      <c r="I89" s="261">
        <f xml:space="preserve"> InputsR!I$21</f>
        <v>0</v>
      </c>
      <c r="J89" s="261">
        <f xml:space="preserve"> InputsR!J$21</f>
        <v>0</v>
      </c>
      <c r="K89" s="261">
        <f xml:space="preserve"> InputsR!K$21</f>
        <v>0</v>
      </c>
      <c r="L89" s="261">
        <f xml:space="preserve"> InputsR!L$21</f>
        <v>0</v>
      </c>
      <c r="M89" s="261">
        <f xml:space="preserve"> InputsR!M$21</f>
        <v>0</v>
      </c>
      <c r="N89" s="261">
        <f xml:space="preserve"> InputsR!N$21</f>
        <v>2.611E-3</v>
      </c>
      <c r="O89" s="261">
        <f xml:space="preserve"> InputsR!O$21</f>
        <v>0</v>
      </c>
      <c r="P89" s="261">
        <f xml:space="preserve"> InputsR!P$21</f>
        <v>0</v>
      </c>
      <c r="Q89" s="261">
        <f xml:space="preserve"> InputsR!Q$21</f>
        <v>0</v>
      </c>
      <c r="R89" s="261">
        <f xml:space="preserve"> InputsR!R$21</f>
        <v>0</v>
      </c>
    </row>
    <row r="90" spans="1:18" ht="15" customHeight="1" outlineLevel="1">
      <c r="A90" s="232"/>
      <c r="B90" s="232"/>
      <c r="C90" s="233"/>
      <c r="D90" s="220"/>
      <c r="E90" s="234" t="str">
        <f xml:space="preserve"> Time!E$46</f>
        <v>Last Forecast Period Flag</v>
      </c>
      <c r="F90" s="234">
        <f xml:space="preserve"> Time!F$46</f>
        <v>0</v>
      </c>
      <c r="G90" s="234" t="str">
        <f xml:space="preserve"> Time!G$46</f>
        <v>flag</v>
      </c>
      <c r="H90" s="234">
        <f xml:space="preserve"> Time!H$46</f>
        <v>1</v>
      </c>
      <c r="I90" s="234">
        <f xml:space="preserve"> Time!I$46</f>
        <v>0</v>
      </c>
      <c r="J90" s="234">
        <f xml:space="preserve"> Time!J$46</f>
        <v>0</v>
      </c>
      <c r="K90" s="234">
        <f xml:space="preserve"> Time!K$46</f>
        <v>0</v>
      </c>
      <c r="L90" s="234">
        <f xml:space="preserve"> Time!L$46</f>
        <v>0</v>
      </c>
      <c r="M90" s="234">
        <f xml:space="preserve"> Time!M$46</f>
        <v>0</v>
      </c>
      <c r="N90" s="234">
        <f xml:space="preserve"> Time!N$46</f>
        <v>0</v>
      </c>
      <c r="O90" s="234">
        <f xml:space="preserve"> Time!O$46</f>
        <v>0</v>
      </c>
      <c r="P90" s="234">
        <f xml:space="preserve"> Time!P$46</f>
        <v>0</v>
      </c>
      <c r="Q90" s="234">
        <f xml:space="preserve"> Time!Q$46</f>
        <v>0</v>
      </c>
      <c r="R90" s="234">
        <f xml:space="preserve"> Time!R$46</f>
        <v>1</v>
      </c>
    </row>
    <row r="91" spans="1:18" ht="15" customHeight="1" outlineLevel="1">
      <c r="A91" s="226"/>
      <c r="B91" s="226"/>
      <c r="C91" s="186"/>
      <c r="D91" s="227"/>
      <c r="E91" s="206" t="s">
        <v>197</v>
      </c>
      <c r="F91" s="206"/>
      <c r="G91" s="206" t="s">
        <v>107</v>
      </c>
      <c r="H91" s="206">
        <f xml:space="preserve"> SUM( J91:U91 )</f>
        <v>-0.18243639174252735</v>
      </c>
      <c r="I91" s="206"/>
      <c r="J91" s="206">
        <f xml:space="preserve"> J90 * ( - J88 - J89 )</f>
        <v>0</v>
      </c>
      <c r="K91" s="206">
        <f t="shared" ref="K91:R91" si="27" xml:space="preserve"> K90 * ( - K88 - K89 )</f>
        <v>0</v>
      </c>
      <c r="L91" s="206">
        <f t="shared" si="27"/>
        <v>0</v>
      </c>
      <c r="M91" s="206">
        <f t="shared" si="27"/>
        <v>0</v>
      </c>
      <c r="N91" s="206">
        <f t="shared" si="27"/>
        <v>0</v>
      </c>
      <c r="O91" s="206">
        <f t="shared" si="27"/>
        <v>0</v>
      </c>
      <c r="P91" s="206">
        <f t="shared" si="27"/>
        <v>0</v>
      </c>
      <c r="Q91" s="206">
        <f t="shared" si="27"/>
        <v>0</v>
      </c>
      <c r="R91" s="206">
        <f t="shared" si="27"/>
        <v>-0.18243639174252735</v>
      </c>
    </row>
    <row r="92" spans="1:18" ht="15" customHeight="1" outlineLevel="1">
      <c r="A92" s="226"/>
      <c r="B92" s="226"/>
      <c r="C92" s="186"/>
      <c r="D92" s="227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</row>
    <row r="93" spans="1:18" s="289" customFormat="1" ht="15" customHeight="1" outlineLevel="1">
      <c r="A93" s="229"/>
      <c r="B93" s="229"/>
      <c r="C93" s="221"/>
      <c r="D93" s="222"/>
      <c r="E93" s="206" t="str">
        <f xml:space="preserve"> E$84</f>
        <v>Value of year 4 total bioresources revenue adjustment to be applied in PR24</v>
      </c>
      <c r="F93" s="206">
        <f t="shared" ref="F93:R93" si="28" xml:space="preserve"> F$84</f>
        <v>0</v>
      </c>
      <c r="G93" s="206" t="str">
        <f t="shared" si="28"/>
        <v>£m</v>
      </c>
      <c r="H93" s="206">
        <f t="shared" si="28"/>
        <v>-0.54904541606677204</v>
      </c>
      <c r="I93" s="206">
        <f t="shared" si="28"/>
        <v>0</v>
      </c>
      <c r="J93" s="206">
        <f t="shared" si="28"/>
        <v>0</v>
      </c>
      <c r="K93" s="206">
        <f t="shared" si="28"/>
        <v>0</v>
      </c>
      <c r="L93" s="206">
        <f t="shared" si="28"/>
        <v>0</v>
      </c>
      <c r="M93" s="206">
        <f t="shared" si="28"/>
        <v>0</v>
      </c>
      <c r="N93" s="206">
        <f t="shared" si="28"/>
        <v>0</v>
      </c>
      <c r="O93" s="206">
        <f t="shared" si="28"/>
        <v>0</v>
      </c>
      <c r="P93" s="206">
        <f t="shared" si="28"/>
        <v>0</v>
      </c>
      <c r="Q93" s="206">
        <f t="shared" si="28"/>
        <v>0</v>
      </c>
      <c r="R93" s="206">
        <f t="shared" si="28"/>
        <v>-0.54904541606677204</v>
      </c>
    </row>
    <row r="94" spans="1:18" s="289" customFormat="1" ht="15" customHeight="1" outlineLevel="1">
      <c r="A94" s="229"/>
      <c r="B94" s="229"/>
      <c r="C94" s="221"/>
      <c r="D94" s="222"/>
      <c r="E94" s="206" t="str">
        <f xml:space="preserve"> E$91</f>
        <v>Value of year 5 total bioresources revenue adjustment to be applied in PR24</v>
      </c>
      <c r="F94" s="206">
        <f t="shared" ref="F94:R95" si="29" xml:space="preserve"> F$91</f>
        <v>0</v>
      </c>
      <c r="G94" s="206" t="str">
        <f t="shared" si="29"/>
        <v>£m</v>
      </c>
      <c r="H94" s="206">
        <f t="shared" si="29"/>
        <v>-0.18243639174252735</v>
      </c>
      <c r="I94" s="206">
        <f t="shared" si="29"/>
        <v>0</v>
      </c>
      <c r="J94" s="206">
        <f t="shared" si="29"/>
        <v>0</v>
      </c>
      <c r="K94" s="206">
        <f t="shared" si="29"/>
        <v>0</v>
      </c>
      <c r="L94" s="206">
        <f t="shared" si="29"/>
        <v>0</v>
      </c>
      <c r="M94" s="206">
        <f t="shared" si="29"/>
        <v>0</v>
      </c>
      <c r="N94" s="206">
        <f t="shared" si="29"/>
        <v>0</v>
      </c>
      <c r="O94" s="206">
        <f t="shared" si="29"/>
        <v>0</v>
      </c>
      <c r="P94" s="206">
        <f t="shared" si="29"/>
        <v>0</v>
      </c>
      <c r="Q94" s="206">
        <f t="shared" si="29"/>
        <v>0</v>
      </c>
      <c r="R94" s="206">
        <f t="shared" si="29"/>
        <v>-0.18243639174252735</v>
      </c>
    </row>
    <row r="95" spans="1:18" s="149" customFormat="1" ht="15" customHeight="1" outlineLevel="1" thickBot="1">
      <c r="A95" s="226"/>
      <c r="B95" s="226"/>
      <c r="C95" s="186"/>
      <c r="D95" s="227"/>
      <c r="E95" s="235" t="s">
        <v>198</v>
      </c>
      <c r="F95" s="235"/>
      <c r="G95" s="235" t="str">
        <f t="shared" si="29"/>
        <v>£m</v>
      </c>
      <c r="H95" s="235">
        <f xml:space="preserve"> SUM( J95:R95 )</f>
        <v>-0.73148180780929939</v>
      </c>
      <c r="I95" s="235"/>
      <c r="J95" s="235">
        <f xml:space="preserve"> J93 + J94</f>
        <v>0</v>
      </c>
      <c r="K95" s="235">
        <f t="shared" ref="K95:R95" si="30" xml:space="preserve"> K93 + K94</f>
        <v>0</v>
      </c>
      <c r="L95" s="235">
        <f t="shared" si="30"/>
        <v>0</v>
      </c>
      <c r="M95" s="235">
        <f t="shared" si="30"/>
        <v>0</v>
      </c>
      <c r="N95" s="235">
        <f t="shared" si="30"/>
        <v>0</v>
      </c>
      <c r="O95" s="235">
        <f t="shared" si="30"/>
        <v>0</v>
      </c>
      <c r="P95" s="235">
        <f t="shared" si="30"/>
        <v>0</v>
      </c>
      <c r="Q95" s="235">
        <f t="shared" si="30"/>
        <v>0</v>
      </c>
      <c r="R95" s="235">
        <f t="shared" si="30"/>
        <v>-0.73148180780929939</v>
      </c>
    </row>
    <row r="96" spans="1:18" ht="15" customHeight="1" thickTop="1">
      <c r="A96" s="226"/>
      <c r="B96" s="226"/>
      <c r="C96" s="186"/>
      <c r="D96" s="227"/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228"/>
    </row>
    <row r="97" spans="1:18" s="168" customFormat="1" ht="15" customHeight="1">
      <c r="A97" s="80" t="s">
        <v>199</v>
      </c>
      <c r="B97" s="240"/>
      <c r="C97" s="269"/>
      <c r="D97" s="270"/>
      <c r="E97" s="240"/>
      <c r="F97" s="240"/>
      <c r="G97" s="270"/>
      <c r="H97" s="240"/>
      <c r="I97" s="240"/>
      <c r="J97" s="240"/>
      <c r="K97" s="240"/>
      <c r="L97" s="240"/>
      <c r="M97" s="240"/>
      <c r="N97" s="240"/>
      <c r="O97" s="240"/>
      <c r="P97" s="240"/>
      <c r="Q97" s="240"/>
      <c r="R97" s="240"/>
    </row>
    <row r="98" spans="1:18" s="241" customFormat="1" ht="15" customHeight="1" outlineLevel="1">
      <c r="A98" s="271"/>
      <c r="B98" s="271"/>
      <c r="C98" s="272"/>
      <c r="D98" s="273"/>
      <c r="E98" s="271"/>
      <c r="F98" s="271"/>
      <c r="G98" s="273"/>
      <c r="H98" s="271"/>
      <c r="I98" s="271"/>
      <c r="J98" s="271"/>
      <c r="K98" s="271"/>
      <c r="L98" s="271"/>
      <c r="M98" s="271"/>
      <c r="N98" s="271"/>
      <c r="O98"/>
    </row>
    <row r="99" spans="1:18" s="300" customFormat="1" ht="12.75" customHeight="1" outlineLevel="1">
      <c r="A99" s="83"/>
      <c r="B99" s="83" t="s">
        <v>200</v>
      </c>
      <c r="C99" s="104"/>
      <c r="D99" s="85"/>
      <c r="E99" s="163"/>
      <c r="F99" s="163"/>
      <c r="G99" s="275"/>
      <c r="H99" s="163"/>
      <c r="I99" s="163"/>
      <c r="J99" s="163"/>
      <c r="K99" s="163"/>
      <c r="L99" s="163"/>
      <c r="M99" s="163"/>
      <c r="N99" s="163"/>
      <c r="O99"/>
      <c r="P99" s="347"/>
      <c r="Q99" s="347"/>
      <c r="R99" s="347"/>
    </row>
    <row r="100" spans="1:18" s="300" customFormat="1" ht="12.75" customHeight="1" outlineLevel="1">
      <c r="A100" s="83"/>
      <c r="B100" s="83"/>
      <c r="C100" s="104"/>
      <c r="D100" s="85"/>
      <c r="E100" s="163"/>
      <c r="F100" s="163"/>
      <c r="G100" s="275"/>
      <c r="H100" s="163"/>
      <c r="I100" s="163"/>
      <c r="J100" s="163"/>
      <c r="K100" s="163"/>
      <c r="L100" s="163"/>
      <c r="M100" s="163"/>
      <c r="N100" s="163"/>
      <c r="O100"/>
      <c r="P100" s="347"/>
      <c r="Q100" s="347"/>
      <c r="R100" s="347"/>
    </row>
    <row r="101" spans="1:18" outlineLevel="1">
      <c r="A101" s="16"/>
      <c r="B101" s="16"/>
      <c r="C101" s="17"/>
      <c r="D101" s="158"/>
      <c r="E101" s="340" t="str">
        <f t="shared" ref="E101:R101" si="31" xml:space="preserve"> E$16</f>
        <v>Forecast volume of sludge (FTDS)</v>
      </c>
      <c r="F101" s="340">
        <f t="shared" si="31"/>
        <v>0</v>
      </c>
      <c r="G101" s="340" t="str">
        <f t="shared" si="31"/>
        <v>TDS</v>
      </c>
      <c r="H101" s="340">
        <f t="shared" si="31"/>
        <v>371100</v>
      </c>
      <c r="I101" s="340">
        <f t="shared" si="31"/>
        <v>0</v>
      </c>
      <c r="J101" s="340">
        <f t="shared" si="31"/>
        <v>0</v>
      </c>
      <c r="K101" s="340">
        <f t="shared" si="31"/>
        <v>0</v>
      </c>
      <c r="L101" s="340">
        <f t="shared" si="31"/>
        <v>0</v>
      </c>
      <c r="M101" s="340">
        <f t="shared" si="31"/>
        <v>0</v>
      </c>
      <c r="N101" s="340">
        <f t="shared" si="31"/>
        <v>72700</v>
      </c>
      <c r="O101" s="340">
        <f t="shared" si="31"/>
        <v>73500</v>
      </c>
      <c r="P101" s="340">
        <f t="shared" si="31"/>
        <v>74200</v>
      </c>
      <c r="Q101" s="340">
        <f t="shared" si="31"/>
        <v>75000</v>
      </c>
      <c r="R101" s="340">
        <f t="shared" si="31"/>
        <v>75700</v>
      </c>
    </row>
    <row r="102" spans="1:18" s="300" customFormat="1" ht="12.75" customHeight="1" outlineLevel="1">
      <c r="A102" s="83"/>
      <c r="B102" s="83"/>
      <c r="C102" s="104"/>
      <c r="D102" s="85"/>
      <c r="E102" s="163" t="s">
        <v>100</v>
      </c>
      <c r="F102" s="27">
        <f xml:space="preserve"> SUM( N101:R101 )</f>
        <v>371100</v>
      </c>
      <c r="G102" s="277" t="s">
        <v>80</v>
      </c>
      <c r="H102" s="163"/>
      <c r="I102" s="163"/>
      <c r="J102" s="163"/>
      <c r="K102" s="163"/>
      <c r="L102" s="163"/>
      <c r="M102" s="163"/>
      <c r="N102" s="163"/>
      <c r="O102"/>
      <c r="P102" s="347"/>
      <c r="Q102" s="347"/>
      <c r="R102" s="347"/>
    </row>
    <row r="103" spans="1:18" s="300" customFormat="1" ht="12.75" customHeight="1" outlineLevel="1">
      <c r="A103" s="83"/>
      <c r="B103" s="83"/>
      <c r="C103" s="104"/>
      <c r="D103" s="85"/>
      <c r="E103" s="169"/>
      <c r="F103" s="169"/>
      <c r="G103" s="278"/>
      <c r="H103" s="169"/>
      <c r="I103" s="169"/>
      <c r="J103" s="169"/>
      <c r="K103" s="169"/>
      <c r="L103" s="169"/>
      <c r="M103" s="169"/>
      <c r="N103" s="169"/>
      <c r="O103"/>
      <c r="P103" s="347"/>
      <c r="Q103" s="347"/>
      <c r="R103" s="347"/>
    </row>
    <row r="104" spans="1:18" outlineLevel="1">
      <c r="E104" s="12" t="str">
        <f t="shared" ref="E104:R104" si="32" xml:space="preserve"> E$11</f>
        <v>Actual volume of sludge (ATDS)</v>
      </c>
      <c r="F104" s="12">
        <f t="shared" si="32"/>
        <v>0</v>
      </c>
      <c r="G104" s="12" t="str">
        <f t="shared" si="32"/>
        <v>TDS</v>
      </c>
      <c r="H104" s="187">
        <f t="shared" si="32"/>
        <v>355000</v>
      </c>
      <c r="I104" s="12">
        <f t="shared" si="32"/>
        <v>0</v>
      </c>
      <c r="J104" s="187">
        <f t="shared" si="32"/>
        <v>0</v>
      </c>
      <c r="K104" s="187">
        <f t="shared" si="32"/>
        <v>0</v>
      </c>
      <c r="L104" s="187">
        <f t="shared" si="32"/>
        <v>0</v>
      </c>
      <c r="M104" s="187">
        <f t="shared" si="32"/>
        <v>0</v>
      </c>
      <c r="N104" s="187">
        <f t="shared" si="32"/>
        <v>70000</v>
      </c>
      <c r="O104" s="187">
        <f t="shared" si="32"/>
        <v>73500</v>
      </c>
      <c r="P104" s="187">
        <f t="shared" si="32"/>
        <v>69800</v>
      </c>
      <c r="Q104" s="187">
        <f t="shared" si="32"/>
        <v>71100</v>
      </c>
      <c r="R104" s="187">
        <f t="shared" si="32"/>
        <v>70600</v>
      </c>
    </row>
    <row r="105" spans="1:18" s="168" customFormat="1" ht="12.75" customHeight="1" outlineLevel="1">
      <c r="A105" s="83"/>
      <c r="B105" s="83"/>
      <c r="C105" s="104"/>
      <c r="D105" s="85"/>
      <c r="E105" s="163" t="s">
        <v>101</v>
      </c>
      <c r="F105" s="27">
        <f xml:space="preserve"> SUM( N104:R104 )</f>
        <v>355000</v>
      </c>
      <c r="G105" s="277" t="s">
        <v>80</v>
      </c>
      <c r="H105" s="163"/>
      <c r="I105" s="163"/>
      <c r="J105"/>
      <c r="K105"/>
      <c r="L105"/>
      <c r="M105"/>
      <c r="N105"/>
      <c r="O105"/>
      <c r="P105"/>
      <c r="Q105"/>
      <c r="R105"/>
    </row>
    <row r="106" spans="1:18" s="300" customFormat="1" ht="12.75" customHeight="1" outlineLevel="1">
      <c r="A106" s="83"/>
      <c r="B106" s="83"/>
      <c r="C106" s="104"/>
      <c r="D106" s="85"/>
      <c r="E106" s="163"/>
      <c r="F106" s="163"/>
      <c r="G106" s="277"/>
      <c r="H106" s="163"/>
      <c r="I106" s="163"/>
      <c r="J106" s="163"/>
      <c r="K106" s="163"/>
      <c r="L106" s="163"/>
      <c r="M106" s="163"/>
      <c r="N106" s="163"/>
      <c r="O106"/>
      <c r="P106" s="347"/>
      <c r="Q106" s="347"/>
      <c r="R106" s="347"/>
    </row>
    <row r="107" spans="1:18" s="300" customFormat="1" ht="12.75" customHeight="1" outlineLevel="1">
      <c r="A107" s="83"/>
      <c r="B107" s="83"/>
      <c r="C107" s="104"/>
      <c r="D107" s="85"/>
      <c r="E107" s="163" t="str">
        <f xml:space="preserve"> E$105</f>
        <v>Actual volume of sludge (ATDS)</v>
      </c>
      <c r="F107" s="27">
        <f t="shared" ref="F107:G107" si="33" xml:space="preserve"> F$105</f>
        <v>355000</v>
      </c>
      <c r="G107" s="277" t="str">
        <f t="shared" si="33"/>
        <v>TDS</v>
      </c>
      <c r="H107" s="163"/>
      <c r="I107" s="163"/>
      <c r="J107" s="163"/>
      <c r="K107" s="163"/>
      <c r="L107" s="163"/>
      <c r="M107" s="163"/>
      <c r="N107" s="163"/>
      <c r="O107"/>
      <c r="P107" s="347"/>
      <c r="Q107" s="347"/>
      <c r="R107" s="347"/>
    </row>
    <row r="108" spans="1:18" s="300" customFormat="1" ht="12.75" customHeight="1" outlineLevel="1">
      <c r="A108" s="83"/>
      <c r="B108" s="83"/>
      <c r="C108" s="104"/>
      <c r="D108" s="85"/>
      <c r="E108" s="163" t="str">
        <f xml:space="preserve"> E$102</f>
        <v>Forecast volume of sludge (FTDS)</v>
      </c>
      <c r="F108" s="27">
        <f xml:space="preserve"> F$102</f>
        <v>371100</v>
      </c>
      <c r="G108" s="277" t="str">
        <f xml:space="preserve"> G$102</f>
        <v>TDS</v>
      </c>
      <c r="H108" s="163"/>
      <c r="I108" s="163"/>
      <c r="J108" s="163"/>
      <c r="K108" s="163"/>
      <c r="L108" s="163"/>
      <c r="M108" s="163"/>
      <c r="N108" s="163"/>
      <c r="O108"/>
      <c r="P108" s="347"/>
      <c r="Q108" s="347"/>
      <c r="R108" s="347"/>
    </row>
    <row r="109" spans="1:18" s="300" customFormat="1" ht="12.75" customHeight="1" outlineLevel="1">
      <c r="A109" s="83"/>
      <c r="B109" s="83"/>
      <c r="C109" s="104"/>
      <c r="D109" s="85"/>
      <c r="E109" s="163" t="s">
        <v>201</v>
      </c>
      <c r="F109" s="27">
        <f xml:space="preserve"> ABS( F107 - F108 )</f>
        <v>16100</v>
      </c>
      <c r="G109" s="277" t="s">
        <v>80</v>
      </c>
      <c r="H109" s="163"/>
      <c r="I109" s="163"/>
      <c r="J109" s="163"/>
      <c r="K109" s="163"/>
      <c r="L109" s="163"/>
      <c r="M109" s="163"/>
      <c r="N109" s="163"/>
      <c r="O109"/>
      <c r="P109" s="347"/>
      <c r="Q109" s="347"/>
      <c r="R109" s="347"/>
    </row>
    <row r="110" spans="1:18" s="300" customFormat="1" ht="12.75" customHeight="1" outlineLevel="1">
      <c r="A110" s="83"/>
      <c r="B110" s="83"/>
      <c r="C110" s="104"/>
      <c r="D110" s="85"/>
      <c r="E110" s="163"/>
      <c r="F110" s="163"/>
      <c r="G110" s="277"/>
      <c r="H110" s="163"/>
      <c r="I110" s="163"/>
      <c r="J110" s="163"/>
      <c r="K110" s="163"/>
      <c r="L110" s="163"/>
      <c r="M110" s="163"/>
      <c r="N110" s="163"/>
      <c r="O110"/>
      <c r="P110" s="347"/>
      <c r="Q110" s="347"/>
      <c r="R110" s="347"/>
    </row>
    <row r="111" spans="1:18" s="300" customFormat="1" ht="12.75" customHeight="1" outlineLevel="1">
      <c r="A111" s="83"/>
      <c r="B111" s="83"/>
      <c r="C111" s="104"/>
      <c r="D111" s="85"/>
      <c r="E111" s="163" t="str">
        <f xml:space="preserve"> E$105</f>
        <v>Actual volume of sludge (ATDS)</v>
      </c>
      <c r="F111" s="27">
        <f t="shared" ref="F111:G111" si="34" xml:space="preserve"> F$105</f>
        <v>355000</v>
      </c>
      <c r="G111" s="277" t="str">
        <f t="shared" si="34"/>
        <v>TDS</v>
      </c>
      <c r="H111" s="163"/>
      <c r="I111" s="163"/>
      <c r="J111" s="163"/>
      <c r="K111" s="163"/>
      <c r="L111" s="163"/>
      <c r="M111" s="163"/>
      <c r="N111" s="163"/>
      <c r="O111"/>
      <c r="P111" s="347"/>
      <c r="Q111" s="347"/>
      <c r="R111" s="347"/>
    </row>
    <row r="112" spans="1:18" s="300" customFormat="1" ht="12.75" customHeight="1" outlineLevel="1">
      <c r="A112" s="83"/>
      <c r="B112" s="83"/>
      <c r="C112" s="104"/>
      <c r="D112" s="85"/>
      <c r="E112" s="163" t="str">
        <f xml:space="preserve"> E$102</f>
        <v>Forecast volume of sludge (FTDS)</v>
      </c>
      <c r="F112" s="27">
        <f t="shared" ref="F112:G112" si="35" xml:space="preserve"> F$102</f>
        <v>371100</v>
      </c>
      <c r="G112" s="277" t="str">
        <f t="shared" si="35"/>
        <v>TDS</v>
      </c>
      <c r="H112" s="163"/>
      <c r="I112" s="163"/>
      <c r="J112" s="163"/>
      <c r="K112" s="163"/>
      <c r="L112" s="163"/>
      <c r="M112" s="163"/>
      <c r="N112" s="163"/>
      <c r="O112"/>
      <c r="P112" s="347"/>
      <c r="Q112" s="347"/>
      <c r="R112" s="347"/>
    </row>
    <row r="113" spans="1:18" s="300" customFormat="1" ht="12.75" customHeight="1" outlineLevel="1">
      <c r="A113" s="83"/>
      <c r="B113" s="83"/>
      <c r="C113" s="104"/>
      <c r="D113" s="85"/>
      <c r="E113" s="163" t="s">
        <v>202</v>
      </c>
      <c r="F113" s="276">
        <f xml:space="preserve"> IF( F111 = 0, 0, ABS(( F111 - F112 ) / F112 ))</f>
        <v>4.3384532471032064E-2</v>
      </c>
      <c r="G113" s="277" t="s">
        <v>111</v>
      </c>
      <c r="H113" s="163"/>
      <c r="I113" s="163"/>
      <c r="J113" s="163"/>
      <c r="K113" s="163"/>
      <c r="L113" s="163"/>
      <c r="M113" s="163"/>
      <c r="N113" s="163"/>
      <c r="O113"/>
      <c r="P113" s="347"/>
      <c r="Q113" s="347"/>
      <c r="R113" s="347"/>
    </row>
    <row r="114" spans="1:18" s="300" customFormat="1" ht="12.75" customHeight="1" outlineLevel="1">
      <c r="A114" s="83"/>
      <c r="B114" s="83"/>
      <c r="C114" s="104"/>
      <c r="D114" s="85"/>
      <c r="E114" s="163"/>
      <c r="F114" s="163"/>
      <c r="G114" s="277"/>
      <c r="H114" s="163"/>
      <c r="I114" s="163"/>
      <c r="J114" s="163"/>
      <c r="K114" s="163"/>
      <c r="L114" s="163"/>
      <c r="M114" s="163"/>
      <c r="N114" s="163"/>
      <c r="O114"/>
      <c r="P114" s="347"/>
      <c r="Q114" s="347"/>
      <c r="R114" s="347"/>
    </row>
    <row r="115" spans="1:18" s="300" customFormat="1" ht="12.75" customHeight="1" outlineLevel="1">
      <c r="A115" s="83"/>
      <c r="B115" s="83" t="s">
        <v>203</v>
      </c>
      <c r="C115" s="104"/>
      <c r="D115" s="85"/>
      <c r="E115" s="163"/>
      <c r="F115" s="163"/>
      <c r="G115" s="277"/>
      <c r="H115" s="163"/>
      <c r="I115" s="163"/>
      <c r="J115" s="163"/>
      <c r="K115" s="163"/>
      <c r="L115" s="163"/>
      <c r="M115" s="163"/>
      <c r="N115" s="163"/>
      <c r="O115"/>
      <c r="P115" s="347"/>
      <c r="Q115" s="347"/>
      <c r="R115" s="347"/>
    </row>
    <row r="116" spans="1:18" s="300" customFormat="1" ht="12.75" customHeight="1" outlineLevel="1">
      <c r="A116" s="83"/>
      <c r="B116" s="83"/>
      <c r="C116" s="104"/>
      <c r="D116" s="85"/>
      <c r="E116" s="163"/>
      <c r="F116" s="163"/>
      <c r="G116" s="277"/>
      <c r="H116" s="163"/>
      <c r="I116" s="163"/>
      <c r="J116" s="163"/>
      <c r="K116" s="163"/>
      <c r="L116" s="163"/>
      <c r="M116" s="163"/>
      <c r="N116" s="163"/>
      <c r="O116"/>
      <c r="P116" s="347"/>
      <c r="Q116" s="347"/>
      <c r="R116" s="347"/>
    </row>
    <row r="117" spans="1:18" s="300" customFormat="1" ht="12.75" customHeight="1" outlineLevel="1">
      <c r="A117" s="83"/>
      <c r="B117" s="83"/>
      <c r="C117" s="104"/>
      <c r="D117" s="85"/>
      <c r="E117" s="169" t="str">
        <f xml:space="preserve"> InputsR!E$29</f>
        <v>Deadband</v>
      </c>
      <c r="F117" s="193">
        <f xml:space="preserve"> InputsR!F$29</f>
        <v>0.06</v>
      </c>
      <c r="G117" s="278" t="str">
        <f xml:space="preserve"> InputsR!G$29</f>
        <v>%</v>
      </c>
      <c r="H117" s="163"/>
      <c r="I117" s="163"/>
      <c r="J117" s="163"/>
      <c r="K117" s="163"/>
      <c r="L117" s="163"/>
      <c r="M117" s="163"/>
      <c r="N117" s="163"/>
      <c r="O117"/>
      <c r="P117" s="347"/>
      <c r="Q117" s="347"/>
      <c r="R117" s="347"/>
    </row>
    <row r="118" spans="1:18" s="300" customFormat="1" ht="12.75" customHeight="1" outlineLevel="1">
      <c r="A118" s="83"/>
      <c r="B118" s="83"/>
      <c r="C118" s="104"/>
      <c r="D118" s="85"/>
      <c r="E118" s="163" t="str">
        <f xml:space="preserve"> E$113</f>
        <v>Forecast Error %</v>
      </c>
      <c r="F118" s="276">
        <f xml:space="preserve"> F$113</f>
        <v>4.3384532471032064E-2</v>
      </c>
      <c r="G118" s="163" t="str">
        <f xml:space="preserve"> G$113</f>
        <v>%</v>
      </c>
      <c r="H118" s="163"/>
      <c r="I118" s="276"/>
      <c r="J118" s="163"/>
      <c r="K118" s="163"/>
      <c r="L118" s="163"/>
      <c r="M118" s="163"/>
      <c r="N118" s="163"/>
      <c r="O118"/>
      <c r="P118" s="347"/>
      <c r="Q118" s="347"/>
      <c r="R118" s="347"/>
    </row>
    <row r="119" spans="1:18" s="241" customFormat="1" ht="12.75" customHeight="1" outlineLevel="1">
      <c r="A119" s="103"/>
      <c r="B119" s="103"/>
      <c r="C119" s="104"/>
      <c r="D119" s="218"/>
      <c r="E119" s="290" t="s">
        <v>204</v>
      </c>
      <c r="F119" s="291" t="b">
        <f xml:space="preserve"> IF( F118 &gt;= F117, TRUE, FALSE)</f>
        <v>0</v>
      </c>
      <c r="G119" s="304" t="s">
        <v>205</v>
      </c>
      <c r="H119" s="290"/>
      <c r="I119" s="290"/>
      <c r="J119" s="290"/>
      <c r="K119" s="290"/>
      <c r="L119" s="290"/>
      <c r="M119" s="290"/>
      <c r="N119" s="290"/>
      <c r="O119" s="149"/>
    </row>
    <row r="120" spans="1:18" s="168" customFormat="1" ht="12.75" customHeight="1" outlineLevel="1">
      <c r="A120" s="83"/>
      <c r="B120" s="83"/>
      <c r="C120" s="104"/>
      <c r="D120" s="85"/>
      <c r="E120" s="305"/>
      <c r="F120" s="276"/>
      <c r="G120" s="277"/>
      <c r="H120" s="163"/>
      <c r="I120" s="163"/>
      <c r="J120" s="163"/>
      <c r="K120" s="163"/>
      <c r="L120" s="163"/>
      <c r="M120" s="163"/>
      <c r="N120" s="163"/>
      <c r="O120"/>
    </row>
    <row r="121" spans="1:18" s="300" customFormat="1" ht="12.75" customHeight="1" outlineLevel="1">
      <c r="A121" s="83"/>
      <c r="B121" s="83"/>
      <c r="C121" s="104"/>
      <c r="D121" s="85"/>
      <c r="E121" s="169" t="str">
        <f xml:space="preserve"> InputsR!E$27</f>
        <v>Penalty rate</v>
      </c>
      <c r="F121" s="193">
        <f xml:space="preserve"> InputsR!F$27</f>
        <v>0.1</v>
      </c>
      <c r="G121" s="169" t="str">
        <f xml:space="preserve"> InputsR!G$27</f>
        <v>%</v>
      </c>
      <c r="H121" s="169"/>
      <c r="I121" s="163"/>
      <c r="J121" s="163"/>
      <c r="K121" s="163"/>
      <c r="L121" s="163"/>
      <c r="M121" s="163"/>
      <c r="N121" s="163"/>
      <c r="O121"/>
      <c r="P121" s="347"/>
      <c r="Q121" s="347"/>
      <c r="R121" s="347"/>
    </row>
    <row r="122" spans="1:18" s="149" customFormat="1" outlineLevel="1">
      <c r="A122" s="16"/>
      <c r="B122" s="16"/>
      <c r="C122" s="17"/>
      <c r="D122" s="158"/>
      <c r="E122" s="301" t="str">
        <f xml:space="preserve"> InputsR!E$19</f>
        <v>Revised unadjusted revenue (URt) - 2017-18 FYA (CPIH deflated)</v>
      </c>
      <c r="F122" s="302">
        <f xml:space="preserve"> InputsR!F$19</f>
        <v>0</v>
      </c>
      <c r="G122" s="302" t="str">
        <f xml:space="preserve"> InputsR!G$19</f>
        <v>£m</v>
      </c>
      <c r="H122" s="303">
        <f xml:space="preserve"> InputsR!H$19</f>
        <v>113.38557475325786</v>
      </c>
      <c r="I122" s="302">
        <f xml:space="preserve"> InputsR!I$19</f>
        <v>0</v>
      </c>
      <c r="J122" s="302">
        <f xml:space="preserve"> InputsR!J$19</f>
        <v>0</v>
      </c>
      <c r="K122" s="302">
        <f xml:space="preserve"> InputsR!K$19</f>
        <v>0</v>
      </c>
      <c r="L122" s="302">
        <f xml:space="preserve"> InputsR!L$19</f>
        <v>0</v>
      </c>
      <c r="M122" s="302">
        <f xml:space="preserve"> InputsR!M$19</f>
        <v>0</v>
      </c>
      <c r="N122" s="303">
        <f xml:space="preserve"> InputsR!N$19</f>
        <v>20.513658716927772</v>
      </c>
      <c r="O122" s="303">
        <f xml:space="preserve"> InputsR!O$19</f>
        <v>20.739393613400154</v>
      </c>
      <c r="P122" s="303">
        <f xml:space="preserve"> InputsR!P$19</f>
        <v>23.657561508748501</v>
      </c>
      <c r="Q122" s="303">
        <f xml:space="preserve"> InputsR!Q$19</f>
        <v>24.135191729499699</v>
      </c>
      <c r="R122" s="303">
        <f xml:space="preserve"> InputsR!R$19</f>
        <v>24.339769184681732</v>
      </c>
    </row>
    <row r="123" spans="1:18" s="308" customFormat="1" ht="12.75" customHeight="1" outlineLevel="1">
      <c r="A123" s="103"/>
      <c r="B123" s="103"/>
      <c r="C123" s="104"/>
      <c r="D123" s="218"/>
      <c r="E123" s="290" t="str">
        <f xml:space="preserve"> E$113</f>
        <v>Forecast Error %</v>
      </c>
      <c r="F123" s="291">
        <f xml:space="preserve"> F$113</f>
        <v>4.3384532471032064E-2</v>
      </c>
      <c r="G123" s="290" t="str">
        <f xml:space="preserve"> G$113</f>
        <v>%</v>
      </c>
      <c r="H123" s="290"/>
      <c r="I123" s="290"/>
      <c r="J123" s="290"/>
      <c r="K123" s="290"/>
      <c r="L123" s="290"/>
      <c r="M123" s="290"/>
      <c r="N123" s="290"/>
      <c r="O123" s="149"/>
      <c r="P123" s="351"/>
      <c r="Q123" s="351"/>
      <c r="R123" s="351"/>
    </row>
    <row r="124" spans="1:18" s="300" customFormat="1" ht="12.75" customHeight="1" outlineLevel="1">
      <c r="A124" s="83"/>
      <c r="B124" s="83"/>
      <c r="C124" s="104"/>
      <c r="D124" s="85"/>
      <c r="E124" s="163" t="str">
        <f xml:space="preserve"> E$119</f>
        <v>Penalty required ?</v>
      </c>
      <c r="F124" s="163" t="b">
        <f xml:space="preserve"> F$119</f>
        <v>0</v>
      </c>
      <c r="G124" s="163" t="str">
        <f xml:space="preserve"> G$119</f>
        <v>Boolean</v>
      </c>
      <c r="H124" s="163"/>
      <c r="I124" s="163"/>
      <c r="J124" s="163"/>
      <c r="K124" s="163"/>
      <c r="L124" s="163"/>
      <c r="M124" s="163"/>
      <c r="N124" s="163"/>
      <c r="O124"/>
      <c r="P124" s="347"/>
      <c r="Q124" s="347"/>
      <c r="R124" s="347"/>
    </row>
    <row r="125" spans="1:18" s="299" customFormat="1" ht="15" customHeight="1" outlineLevel="1" thickBot="1">
      <c r="A125" s="226"/>
      <c r="B125" s="226"/>
      <c r="C125" s="186"/>
      <c r="D125" s="227"/>
      <c r="E125" s="235" t="s">
        <v>206</v>
      </c>
      <c r="F125" s="235">
        <f xml:space="preserve"> IF($F124 = FALSE, 0, $F121 * $H122 * $F$123 )</f>
        <v>0</v>
      </c>
      <c r="G125" s="235" t="s">
        <v>107</v>
      </c>
      <c r="H125" s="235"/>
      <c r="I125" s="235"/>
      <c r="J125" s="309"/>
      <c r="K125" s="309"/>
      <c r="L125" s="309"/>
      <c r="M125" s="309"/>
      <c r="N125" s="309"/>
      <c r="O125" s="309"/>
      <c r="P125" s="309"/>
      <c r="Q125" s="309"/>
      <c r="R125" s="235"/>
    </row>
    <row r="126" spans="1:18" ht="15" customHeight="1" thickTop="1">
      <c r="A126" s="229"/>
      <c r="B126" s="229"/>
      <c r="C126" s="221"/>
      <c r="D126" s="222"/>
      <c r="E126" s="206"/>
      <c r="F126" s="206"/>
      <c r="G126" s="206"/>
      <c r="H126" s="230"/>
      <c r="I126" s="230"/>
      <c r="J126" s="230"/>
      <c r="K126" s="230"/>
      <c r="L126" s="230"/>
      <c r="M126" s="230"/>
      <c r="N126" s="230"/>
      <c r="O126" s="230"/>
      <c r="P126" s="230"/>
      <c r="Q126" s="230"/>
      <c r="R126" s="230"/>
    </row>
    <row r="127" spans="1:18">
      <c r="A127" s="127" t="s">
        <v>173</v>
      </c>
      <c r="B127" s="127"/>
      <c r="C127" s="128"/>
      <c r="D127" s="236"/>
      <c r="E127" s="128"/>
      <c r="F127" s="129"/>
      <c r="G127" s="237"/>
      <c r="H127" s="127"/>
      <c r="I127" s="127"/>
      <c r="J127" s="238"/>
      <c r="K127" s="238"/>
      <c r="L127" s="127"/>
      <c r="M127" s="127"/>
      <c r="N127" s="127"/>
      <c r="O127" s="127"/>
      <c r="P127" s="127"/>
      <c r="Q127" s="127"/>
      <c r="R127" s="127"/>
    </row>
    <row r="128" spans="1:18">
      <c r="A128" s="117"/>
      <c r="B128" s="117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</row>
    <row r="129" customFormat="1" hidden="1"/>
    <row r="130" customFormat="1" hidden="1"/>
    <row r="131" customFormat="1" hidden="1"/>
    <row r="132" customFormat="1" hidden="1"/>
    <row r="133" customFormat="1" hidden="1"/>
    <row r="134" customFormat="1" hidden="1"/>
    <row r="135" customFormat="1" hidden="1"/>
    <row r="136" customFormat="1" hidden="1"/>
    <row r="137" customFormat="1" hidden="1"/>
    <row r="138" customFormat="1" hidden="1"/>
    <row r="139" customFormat="1" hidden="1"/>
    <row r="140" customFormat="1" hidden="1"/>
    <row r="141" customFormat="1" hidden="1"/>
    <row r="142" customFormat="1" hidden="1"/>
    <row r="143" customFormat="1" hidden="1"/>
    <row r="144" customFormat="1" hidden="1"/>
    <row r="145" customFormat="1" hidden="1"/>
    <row r="146" customFormat="1" hidden="1"/>
    <row r="147" customFormat="1" hidden="1"/>
    <row r="148" customFormat="1" hidden="1"/>
    <row r="149" customFormat="1" hidden="1"/>
    <row r="150" customFormat="1" hidden="1"/>
    <row r="151" customFormat="1" hidden="1"/>
    <row r="152" customFormat="1" hidden="1"/>
    <row r="153" customFormat="1" hidden="1"/>
    <row r="154" customFormat="1" hidden="1"/>
    <row r="155" customFormat="1" hidden="1"/>
    <row r="156" customFormat="1" hidden="1"/>
    <row r="157" customFormat="1" hidden="1"/>
    <row r="158" customFormat="1" hidden="1"/>
    <row r="159" customFormat="1" hidden="1"/>
    <row r="160" customFormat="1" hidden="1"/>
    <row r="161" customFormat="1" hidden="1"/>
    <row r="162" customFormat="1" hidden="1"/>
    <row r="163" customFormat="1" hidden="1"/>
    <row r="164" customFormat="1" hidden="1"/>
    <row r="165" customFormat="1" hidden="1"/>
    <row r="166" customFormat="1" hidden="1"/>
    <row r="167" customFormat="1" hidden="1"/>
    <row r="168" customFormat="1" hidden="1"/>
    <row r="169" customFormat="1" hidden="1"/>
    <row r="170" customFormat="1" hidden="1"/>
    <row r="171" customFormat="1" hidden="1"/>
    <row r="172" customFormat="1" hidden="1"/>
    <row r="173" customFormat="1" hidden="1"/>
    <row r="174" customFormat="1" hidden="1"/>
    <row r="175" customFormat="1" hidden="1"/>
    <row r="176" customFormat="1" hidden="1"/>
    <row r="177" customFormat="1" hidden="1"/>
    <row r="178" customFormat="1" hidden="1"/>
    <row r="179" customFormat="1" hidden="1"/>
    <row r="180" customFormat="1" hidden="1"/>
    <row r="181" customFormat="1" hidden="1"/>
    <row r="182" customFormat="1" hidden="1"/>
    <row r="183" customFormat="1" hidden="1"/>
    <row r="184" customFormat="1" hidden="1"/>
    <row r="185" customFormat="1" hidden="1"/>
    <row r="186" customFormat="1" hidden="1"/>
    <row r="187" customFormat="1" hidden="1"/>
    <row r="188" customFormat="1" hidden="1"/>
    <row r="189" customFormat="1" hidden="1"/>
    <row r="190" customFormat="1" hidden="1"/>
    <row r="191" customFormat="1" hidden="1"/>
    <row r="192" customFormat="1" hidden="1"/>
    <row r="193" customFormat="1" hidden="1"/>
    <row r="194" customFormat="1" hidden="1"/>
    <row r="195" customFormat="1" hidden="1"/>
    <row r="196" customFormat="1" hidden="1"/>
    <row r="197" customFormat="1" hidden="1"/>
    <row r="198" customFormat="1" hidden="1"/>
    <row r="199" customFormat="1" hidden="1"/>
    <row r="200" customFormat="1" hidden="1"/>
    <row r="201" customFormat="1" hidden="1"/>
    <row r="202" customFormat="1" hidden="1"/>
    <row r="203" customFormat="1" hidden="1"/>
    <row r="204" customFormat="1" hidden="1"/>
    <row r="205" customFormat="1" hidden="1"/>
    <row r="206" customFormat="1" hidden="1"/>
    <row r="207" customFormat="1" hidden="1"/>
    <row r="208" customFormat="1" hidden="1"/>
    <row r="209" customFormat="1" hidden="1"/>
    <row r="210" customFormat="1" hidden="1"/>
    <row r="211" customFormat="1" hidden="1"/>
    <row r="212" customFormat="1" hidden="1"/>
    <row r="213" customFormat="1" hidden="1"/>
    <row r="214" customFormat="1" hidden="1"/>
    <row r="215" customFormat="1" hidden="1"/>
    <row r="216" customFormat="1" hidden="1"/>
    <row r="217" customFormat="1" hidden="1"/>
    <row r="218" customFormat="1" hidden="1"/>
    <row r="219" customFormat="1" hidden="1"/>
    <row r="220" customFormat="1" hidden="1"/>
    <row r="221" customFormat="1" hidden="1"/>
    <row r="222" customFormat="1" hidden="1"/>
    <row r="223" customFormat="1" hidden="1"/>
    <row r="224" customFormat="1" hidden="1"/>
    <row r="225" customFormat="1" hidden="1"/>
    <row r="226" customFormat="1" hidden="1"/>
    <row r="227" customFormat="1" hidden="1"/>
    <row r="228" customFormat="1" hidden="1"/>
    <row r="229" customFormat="1" hidden="1"/>
    <row r="230" customFormat="1" hidden="1"/>
    <row r="231" customFormat="1" hidden="1"/>
    <row r="232" customFormat="1" hidden="1"/>
    <row r="233" customFormat="1" hidden="1"/>
    <row r="234" customFormat="1" hidden="1"/>
    <row r="235" customFormat="1" hidden="1"/>
    <row r="236" customFormat="1" hidden="1"/>
    <row r="237" customFormat="1" hidden="1"/>
    <row r="238" customFormat="1" hidden="1"/>
    <row r="239" customFormat="1" hidden="1"/>
    <row r="240" customFormat="1" hidden="1"/>
    <row r="241" customFormat="1" hidden="1"/>
    <row r="242" customFormat="1" hidden="1"/>
    <row r="243" customFormat="1" hidden="1"/>
    <row r="244" customFormat="1" hidden="1"/>
    <row r="245" customFormat="1" hidden="1"/>
    <row r="246" customFormat="1" hidden="1"/>
    <row r="247" customFormat="1" hidden="1"/>
    <row r="248" customFormat="1" hidden="1"/>
    <row r="249" customFormat="1" hidden="1"/>
    <row r="250" customFormat="1" hidden="1"/>
    <row r="251" customFormat="1" hidden="1"/>
    <row r="252" customFormat="1" hidden="1"/>
    <row r="253" customFormat="1" hidden="1"/>
    <row r="254" customFormat="1" hidden="1"/>
    <row r="255" customFormat="1" hidden="1"/>
    <row r="256" customFormat="1" hidden="1"/>
    <row r="257" customFormat="1" hidden="1"/>
    <row r="258" customFormat="1" hidden="1"/>
    <row r="259" customFormat="1" hidden="1"/>
    <row r="260" customFormat="1" hidden="1"/>
    <row r="261" customFormat="1" hidden="1"/>
    <row r="262" customFormat="1" hidden="1"/>
    <row r="263" customFormat="1" hidden="1"/>
    <row r="264" customFormat="1" hidden="1"/>
    <row r="265" customFormat="1" hidden="1"/>
    <row r="266" customFormat="1" hidden="1"/>
    <row r="267" customFormat="1" hidden="1"/>
    <row r="268" customFormat="1" hidden="1"/>
    <row r="269" customFormat="1" hidden="1"/>
    <row r="270" customFormat="1" hidden="1"/>
    <row r="271" customFormat="1" hidden="1"/>
    <row r="272" customFormat="1" hidden="1"/>
    <row r="273" customFormat="1" hidden="1"/>
    <row r="274" customFormat="1" hidden="1"/>
    <row r="275" customFormat="1" hidden="1"/>
    <row r="276" customFormat="1" hidden="1"/>
    <row r="277" customFormat="1" hidden="1"/>
    <row r="278" customFormat="1" hidden="1"/>
    <row r="279" customFormat="1" hidden="1"/>
    <row r="280" customFormat="1" hidden="1"/>
    <row r="281" customFormat="1" hidden="1"/>
    <row r="282" customFormat="1" hidden="1"/>
    <row r="283" customFormat="1" hidden="1"/>
    <row r="284" customFormat="1" hidden="1"/>
    <row r="285" customFormat="1" hidden="1"/>
    <row r="286" customFormat="1" hidden="1"/>
    <row r="287" customFormat="1" hidden="1"/>
    <row r="288" customFormat="1" hidden="1"/>
    <row r="289" customFormat="1" hidden="1"/>
    <row r="290" customFormat="1" hidden="1"/>
    <row r="291" customFormat="1" hidden="1"/>
    <row r="292" customFormat="1" hidden="1"/>
    <row r="293" customFormat="1" hidden="1"/>
    <row r="294" customFormat="1" hidden="1"/>
    <row r="295" customFormat="1" hidden="1"/>
    <row r="296" customFormat="1" hidden="1"/>
    <row r="297" customFormat="1" hidden="1"/>
    <row r="298" customFormat="1" hidden="1"/>
    <row r="299" customFormat="1" hidden="1"/>
    <row r="300" customFormat="1" hidden="1"/>
    <row r="301" customFormat="1" hidden="1"/>
    <row r="302" customFormat="1" hidden="1"/>
    <row r="303" customFormat="1" hidden="1"/>
    <row r="304" customFormat="1" hidden="1"/>
    <row r="305" customFormat="1" hidden="1"/>
    <row r="306" customFormat="1" hidden="1"/>
    <row r="307" customFormat="1" hidden="1"/>
    <row r="308" customFormat="1" hidden="1"/>
    <row r="309" customFormat="1" hidden="1"/>
    <row r="310" customFormat="1" hidden="1"/>
    <row r="311" customFormat="1" hidden="1"/>
    <row r="312" customFormat="1" hidden="1"/>
    <row r="313" customFormat="1" hidden="1"/>
    <row r="314" customFormat="1" hidden="1"/>
    <row r="315" customFormat="1" hidden="1"/>
    <row r="316" customFormat="1" hidden="1"/>
    <row r="317" customFormat="1" hidden="1"/>
    <row r="318" customFormat="1" hidden="1"/>
    <row r="319" customFormat="1" hidden="1"/>
    <row r="320" customFormat="1" hidden="1"/>
    <row r="321" customFormat="1" hidden="1"/>
    <row r="322" customFormat="1" hidden="1"/>
    <row r="323" customFormat="1" hidden="1"/>
    <row r="324" customFormat="1" hidden="1"/>
    <row r="325" customFormat="1" hidden="1"/>
    <row r="326" customFormat="1" hidden="1"/>
    <row r="327" customFormat="1" hidden="1"/>
    <row r="328" customFormat="1" hidden="1"/>
    <row r="329" customFormat="1" hidden="1"/>
    <row r="330" customFormat="1" hidden="1"/>
    <row r="331" customFormat="1" hidden="1"/>
    <row r="332" customFormat="1" hidden="1"/>
    <row r="333" customFormat="1" hidden="1"/>
    <row r="334" customFormat="1" hidden="1"/>
    <row r="335" customFormat="1" hidden="1"/>
    <row r="336" customFormat="1" hidden="1"/>
    <row r="337" customFormat="1" hidden="1"/>
    <row r="338" customFormat="1" hidden="1"/>
    <row r="339" customFormat="1" hidden="1"/>
    <row r="340" customFormat="1" hidden="1"/>
    <row r="341" customFormat="1" hidden="1"/>
    <row r="342" customFormat="1" hidden="1"/>
    <row r="343" customFormat="1" hidden="1"/>
    <row r="344" customFormat="1" hidden="1"/>
    <row r="345" customFormat="1" hidden="1"/>
    <row r="346" customFormat="1" hidden="1"/>
    <row r="347" customFormat="1" hidden="1"/>
    <row r="348" customFormat="1" hidden="1"/>
    <row r="349" customFormat="1" hidden="1"/>
    <row r="350" customFormat="1" hidden="1"/>
    <row r="351" customFormat="1" hidden="1"/>
    <row r="352" customFormat="1" hidden="1"/>
    <row r="353" customFormat="1" hidden="1"/>
    <row r="354" customFormat="1" hidden="1"/>
    <row r="355" customFormat="1" hidden="1"/>
    <row r="356" customFormat="1" hidden="1"/>
    <row r="357" customFormat="1" hidden="1"/>
    <row r="358" customFormat="1" hidden="1"/>
    <row r="359" customFormat="1" hidden="1"/>
    <row r="360" customFormat="1" hidden="1"/>
    <row r="361" customFormat="1" hidden="1"/>
    <row r="362" customFormat="1" hidden="1"/>
    <row r="363" customFormat="1" hidden="1"/>
    <row r="364" customFormat="1" hidden="1"/>
    <row r="365" customFormat="1" hidden="1"/>
    <row r="366" customFormat="1" hidden="1"/>
    <row r="367" customFormat="1" hidden="1"/>
    <row r="368" customFormat="1" hidden="1"/>
    <row r="369" customFormat="1" hidden="1"/>
    <row r="370" customFormat="1" hidden="1"/>
    <row r="371" customFormat="1" hidden="1"/>
    <row r="372" customFormat="1" hidden="1"/>
    <row r="373" customFormat="1" hidden="1"/>
    <row r="374" customFormat="1" hidden="1"/>
    <row r="375" customFormat="1" hidden="1"/>
    <row r="376" customFormat="1" hidden="1"/>
    <row r="377" customFormat="1" hidden="1"/>
    <row r="378" customFormat="1" hidden="1"/>
    <row r="379" customFormat="1" hidden="1"/>
    <row r="380" customFormat="1" hidden="1"/>
    <row r="381" customFormat="1" hidden="1"/>
    <row r="382" customFormat="1" hidden="1"/>
    <row r="383" customFormat="1" hidden="1"/>
    <row r="384" customFormat="1" hidden="1"/>
    <row r="385" customFormat="1" hidden="1"/>
    <row r="386" customFormat="1" hidden="1"/>
    <row r="387" customFormat="1" hidden="1"/>
    <row r="388" customFormat="1" hidden="1"/>
    <row r="389" customFormat="1" hidden="1"/>
    <row r="390" customFormat="1" hidden="1"/>
    <row r="391" customFormat="1" hidden="1"/>
    <row r="392" customFormat="1" hidden="1"/>
    <row r="393" customFormat="1" hidden="1"/>
    <row r="394" customFormat="1" hidden="1"/>
    <row r="395" customFormat="1" hidden="1"/>
    <row r="396" customFormat="1" hidden="1"/>
    <row r="397" customFormat="1" hidden="1"/>
    <row r="398" customFormat="1" hidden="1"/>
    <row r="399" customFormat="1" hidden="1"/>
    <row r="400" customFormat="1" hidden="1"/>
    <row r="401" spans="1:18" hidden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hidden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hidden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hidden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hidden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hidden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hidden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hidden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hidden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hidden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hidden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hidden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hidden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hidden="1">
      <c r="Q414" s="347"/>
      <c r="R414" s="347"/>
    </row>
    <row r="415" spans="1:18" hidden="1">
      <c r="Q415" s="347"/>
      <c r="R415" s="347"/>
    </row>
    <row r="416" spans="1:18" hidden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customFormat="1" hidden="1"/>
    <row r="418" customFormat="1" hidden="1"/>
    <row r="419" customFormat="1" hidden="1"/>
    <row r="420" customFormat="1" hidden="1"/>
    <row r="421" customFormat="1" hidden="1"/>
    <row r="422" customFormat="1" hidden="1"/>
    <row r="423" customFormat="1" hidden="1"/>
    <row r="424" customFormat="1" hidden="1"/>
    <row r="425" customFormat="1" hidden="1"/>
    <row r="426" customFormat="1" hidden="1"/>
    <row r="427" customFormat="1" hidden="1"/>
    <row r="428" customFormat="1" hidden="1"/>
    <row r="429" customFormat="1" hidden="1"/>
    <row r="430" customFormat="1" hidden="1"/>
    <row r="431" customFormat="1" hidden="1"/>
    <row r="432" customFormat="1" hidden="1"/>
    <row r="433" customFormat="1" hidden="1"/>
    <row r="434" customFormat="1" hidden="1"/>
    <row r="435" customFormat="1" hidden="1"/>
    <row r="436" customFormat="1" hidden="1"/>
    <row r="437" customFormat="1" hidden="1"/>
    <row r="438" customFormat="1" hidden="1"/>
    <row r="439" customFormat="1" hidden="1"/>
    <row r="440" customFormat="1" hidden="1"/>
    <row r="441" customFormat="1" hidden="1"/>
    <row r="442" customFormat="1" hidden="1"/>
    <row r="443" customFormat="1" hidden="1"/>
    <row r="444" customFormat="1" hidden="1"/>
    <row r="445" customFormat="1" hidden="1"/>
    <row r="446" customFormat="1" hidden="1"/>
    <row r="447" customFormat="1" hidden="1"/>
    <row r="448" customFormat="1" hidden="1"/>
    <row r="449" customFormat="1" hidden="1"/>
    <row r="450" customFormat="1" hidden="1"/>
    <row r="451" customFormat="1" hidden="1"/>
    <row r="452" customFormat="1" hidden="1"/>
    <row r="453" customFormat="1" hidden="1"/>
    <row r="454" customFormat="1" hidden="1"/>
    <row r="455" customFormat="1" hidden="1"/>
    <row r="456" customFormat="1" hidden="1"/>
    <row r="457" customFormat="1" hidden="1"/>
    <row r="458" customFormat="1" hidden="1"/>
    <row r="459" customFormat="1" hidden="1"/>
    <row r="460" customFormat="1" hidden="1"/>
    <row r="461" customFormat="1" hidden="1"/>
    <row r="462" customFormat="1" hidden="1"/>
    <row r="463" customFormat="1" hidden="1"/>
    <row r="464" customFormat="1" hidden="1"/>
    <row r="465" customFormat="1" hidden="1"/>
    <row r="466" customFormat="1" hidden="1"/>
    <row r="467" customFormat="1" hidden="1"/>
    <row r="468" customFormat="1" hidden="1"/>
    <row r="469" customFormat="1" hidden="1"/>
    <row r="470" customFormat="1" hidden="1"/>
    <row r="471" customFormat="1" hidden="1"/>
    <row r="472" customFormat="1" hidden="1"/>
    <row r="473" customFormat="1" hidden="1"/>
    <row r="474" customFormat="1" hidden="1"/>
    <row r="475" customFormat="1" hidden="1"/>
    <row r="476" customFormat="1" hidden="1"/>
    <row r="477" customFormat="1" hidden="1"/>
    <row r="478" customFormat="1" hidden="1"/>
    <row r="479" customFormat="1" hidden="1"/>
    <row r="480" customFormat="1" hidden="1"/>
    <row r="481" customFormat="1" hidden="1"/>
    <row r="482" customFormat="1" hidden="1"/>
    <row r="483" customFormat="1" hidden="1"/>
    <row r="484" customFormat="1" hidden="1"/>
    <row r="485" customFormat="1" hidden="1"/>
    <row r="486" customFormat="1" hidden="1"/>
    <row r="487" customFormat="1" hidden="1"/>
    <row r="488" customFormat="1" hidden="1"/>
    <row r="489" customFormat="1" hidden="1"/>
    <row r="490" customFormat="1" hidden="1"/>
    <row r="491" customFormat="1" hidden="1"/>
    <row r="492" customFormat="1" hidden="1"/>
    <row r="493" customFormat="1" hidden="1"/>
    <row r="494" customFormat="1" hidden="1"/>
    <row r="495" customFormat="1" hidden="1"/>
    <row r="496" customFormat="1" hidden="1"/>
    <row r="497" customFormat="1" hidden="1"/>
    <row r="498" customFormat="1" hidden="1"/>
    <row r="499" customFormat="1" hidden="1"/>
    <row r="500" customFormat="1" hidden="1"/>
    <row r="501" customFormat="1" hidden="1"/>
    <row r="502" customFormat="1" hidden="1"/>
    <row r="503" customFormat="1" hidden="1"/>
    <row r="504" customFormat="1" hidden="1"/>
    <row r="505" customFormat="1" hidden="1"/>
    <row r="506" customFormat="1" hidden="1"/>
    <row r="507" customFormat="1" hidden="1"/>
    <row r="508" customFormat="1" hidden="1"/>
    <row r="509" customFormat="1" hidden="1"/>
    <row r="510" customFormat="1" hidden="1"/>
    <row r="511" customFormat="1" hidden="1"/>
    <row r="512" customFormat="1" hidden="1"/>
    <row r="513" customFormat="1" hidden="1"/>
    <row r="514" customFormat="1" hidden="1"/>
    <row r="515" customFormat="1" hidden="1"/>
    <row r="516" customFormat="1" hidden="1"/>
    <row r="517" customFormat="1" hidden="1"/>
    <row r="518" customFormat="1" hidden="1"/>
    <row r="519" customFormat="1" hidden="1"/>
    <row r="520" customFormat="1" hidden="1"/>
    <row r="521" customFormat="1" hidden="1"/>
    <row r="522" customFormat="1" hidden="1"/>
    <row r="523" customFormat="1" hidden="1"/>
    <row r="524" customFormat="1" hidden="1"/>
    <row r="525" customFormat="1" hidden="1"/>
    <row r="526" customFormat="1" hidden="1"/>
    <row r="527" customFormat="1" hidden="1"/>
    <row r="528" customFormat="1" hidden="1"/>
    <row r="529" customFormat="1" hidden="1"/>
    <row r="530" customFormat="1" hidden="1"/>
    <row r="531" customFormat="1" hidden="1"/>
    <row r="532" customFormat="1" hidden="1"/>
    <row r="533" customFormat="1" hidden="1"/>
    <row r="534" customFormat="1" hidden="1"/>
    <row r="535" customFormat="1" hidden="1"/>
    <row r="536" customFormat="1" hidden="1"/>
    <row r="537" customFormat="1" hidden="1"/>
    <row r="538" customFormat="1" hidden="1"/>
    <row r="539" customFormat="1" hidden="1"/>
    <row r="540" customFormat="1" hidden="1"/>
    <row r="541" customFormat="1" hidden="1"/>
    <row r="542" customFormat="1" hidden="1"/>
    <row r="543" customFormat="1" hidden="1"/>
    <row r="544" customFormat="1" hidden="1"/>
    <row r="545" customFormat="1" hidden="1"/>
    <row r="546" customFormat="1" hidden="1"/>
    <row r="547" customFormat="1" hidden="1"/>
    <row r="548" customFormat="1" hidden="1"/>
    <row r="549" customFormat="1" hidden="1"/>
    <row r="550" customFormat="1" hidden="1"/>
    <row r="551" customFormat="1" hidden="1"/>
    <row r="552" customFormat="1" hidden="1"/>
    <row r="553" customFormat="1" hidden="1"/>
    <row r="554" customFormat="1" hidden="1"/>
    <row r="555" customFormat="1" hidden="1"/>
    <row r="556" customFormat="1" hidden="1"/>
    <row r="557" customFormat="1" hidden="1"/>
    <row r="558" customFormat="1" hidden="1"/>
    <row r="559" customFormat="1" hidden="1"/>
    <row r="560" customFormat="1" hidden="1"/>
    <row r="561" customFormat="1" hidden="1"/>
    <row r="562" customFormat="1" hidden="1"/>
    <row r="563" customFormat="1" hidden="1"/>
    <row r="564" customFormat="1" hidden="1"/>
    <row r="565" customFormat="1" hidden="1"/>
    <row r="566" customFormat="1" hidden="1"/>
    <row r="567" customFormat="1" hidden="1"/>
    <row r="568" customFormat="1" hidden="1"/>
    <row r="569" customFormat="1" hidden="1"/>
    <row r="570" customFormat="1" hidden="1"/>
    <row r="571" customFormat="1" hidden="1"/>
    <row r="572" customFormat="1" hidden="1"/>
    <row r="573" customFormat="1" hidden="1"/>
    <row r="574" customFormat="1" hidden="1"/>
    <row r="575" customFormat="1" hidden="1"/>
    <row r="576" customFormat="1" hidden="1"/>
    <row r="577" customFormat="1" hidden="1"/>
    <row r="578" customFormat="1" hidden="1"/>
    <row r="579" customFormat="1" hidden="1"/>
    <row r="580" customFormat="1" hidden="1"/>
    <row r="581" customFormat="1" hidden="1"/>
    <row r="582" customFormat="1" hidden="1"/>
    <row r="583" customFormat="1" hidden="1"/>
    <row r="584" customFormat="1" hidden="1"/>
    <row r="585" customFormat="1" hidden="1"/>
    <row r="586" customFormat="1" hidden="1"/>
    <row r="587" customFormat="1" hidden="1"/>
    <row r="588" customFormat="1" hidden="1"/>
    <row r="589" customFormat="1" hidden="1"/>
    <row r="590" customFormat="1" hidden="1"/>
    <row r="591" customFormat="1" hidden="1"/>
    <row r="592" customFormat="1" hidden="1"/>
    <row r="593" customFormat="1" hidden="1"/>
    <row r="594" customFormat="1" hidden="1"/>
    <row r="595" customFormat="1" hidden="1"/>
    <row r="596" customFormat="1" hidden="1"/>
    <row r="597" customFormat="1" hidden="1"/>
    <row r="598" customFormat="1" hidden="1"/>
    <row r="599" customFormat="1" hidden="1"/>
    <row r="600" customFormat="1" hidden="1"/>
    <row r="601" customFormat="1" hidden="1"/>
    <row r="602" customFormat="1" hidden="1"/>
    <row r="603" customFormat="1" hidden="1"/>
    <row r="604" customFormat="1" hidden="1"/>
    <row r="605" customFormat="1" hidden="1"/>
    <row r="606" customFormat="1" hidden="1"/>
    <row r="607" customFormat="1" hidden="1"/>
    <row r="608" customFormat="1" hidden="1"/>
    <row r="609" customFormat="1" hidden="1"/>
    <row r="610" customFormat="1" hidden="1"/>
    <row r="611" customFormat="1" hidden="1"/>
    <row r="612" customFormat="1" hidden="1"/>
    <row r="613" customFormat="1" hidden="1"/>
    <row r="614" customFormat="1" hidden="1"/>
    <row r="615" customFormat="1" hidden="1"/>
    <row r="616" customFormat="1" hidden="1"/>
    <row r="617" customFormat="1" hidden="1"/>
    <row r="618" customFormat="1" hidden="1"/>
    <row r="619" customFormat="1" hidden="1"/>
    <row r="620" customFormat="1" hidden="1"/>
    <row r="621" customFormat="1" hidden="1"/>
    <row r="622" customFormat="1" hidden="1"/>
    <row r="623" customFormat="1" hidden="1"/>
    <row r="624" customFormat="1" hidden="1"/>
    <row r="625" customFormat="1" hidden="1"/>
    <row r="626" customFormat="1" hidden="1"/>
    <row r="627" customFormat="1" hidden="1"/>
    <row r="628" customFormat="1" hidden="1"/>
    <row r="629" customFormat="1" hidden="1"/>
    <row r="630" customFormat="1" hidden="1"/>
    <row r="631" customFormat="1" hidden="1"/>
    <row r="632" customFormat="1" hidden="1"/>
    <row r="633" customFormat="1" hidden="1"/>
    <row r="634" customFormat="1" hidden="1"/>
    <row r="635" customFormat="1" hidden="1"/>
    <row r="636" customFormat="1" hidden="1"/>
    <row r="637" customFormat="1" hidden="1"/>
    <row r="638" customFormat="1" hidden="1"/>
    <row r="639" customFormat="1" hidden="1"/>
    <row r="640" customFormat="1" hidden="1"/>
    <row r="641" customFormat="1" hidden="1"/>
    <row r="642" customFormat="1" hidden="1"/>
    <row r="643" customFormat="1" hidden="1"/>
    <row r="644" customFormat="1" hidden="1"/>
    <row r="645" customFormat="1" hidden="1"/>
    <row r="646" customFormat="1" hidden="1"/>
    <row r="647" customFormat="1" hidden="1"/>
    <row r="648" customFormat="1" hidden="1"/>
    <row r="649" customFormat="1" hidden="1"/>
    <row r="650" customFormat="1" hidden="1"/>
    <row r="651" customFormat="1" hidden="1"/>
    <row r="652" customFormat="1" hidden="1"/>
    <row r="653" customFormat="1" hidden="1"/>
    <row r="654" customFormat="1" hidden="1"/>
    <row r="655" customFormat="1" hidden="1"/>
    <row r="656" customFormat="1" hidden="1"/>
    <row r="657" customFormat="1" hidden="1"/>
    <row r="658" customFormat="1" hidden="1"/>
    <row r="659" customFormat="1" hidden="1"/>
    <row r="660" customFormat="1" hidden="1"/>
    <row r="661" customFormat="1" hidden="1"/>
    <row r="662" customFormat="1" hidden="1"/>
    <row r="663" customFormat="1" hidden="1"/>
    <row r="664" customFormat="1" hidden="1"/>
    <row r="665" customFormat="1" hidden="1"/>
    <row r="666" customFormat="1" hidden="1"/>
    <row r="667" customFormat="1" hidden="1"/>
    <row r="668" customFormat="1" hidden="1"/>
    <row r="669" customFormat="1" hidden="1"/>
    <row r="670" customFormat="1" hidden="1"/>
    <row r="671" customFormat="1" hidden="1"/>
    <row r="672" customFormat="1" hidden="1"/>
    <row r="673" customFormat="1" hidden="1"/>
    <row r="674" customFormat="1" hidden="1"/>
    <row r="675" customFormat="1" hidden="1"/>
    <row r="676" customFormat="1" hidden="1"/>
    <row r="677" customFormat="1" hidden="1"/>
    <row r="678" customFormat="1" hidden="1"/>
    <row r="679" customFormat="1" hidden="1"/>
    <row r="680" customFormat="1" hidden="1"/>
    <row r="681" customFormat="1" hidden="1"/>
    <row r="682" customFormat="1" hidden="1"/>
    <row r="683" customFormat="1" hidden="1"/>
    <row r="684" customFormat="1" hidden="1"/>
    <row r="685" customFormat="1" hidden="1"/>
    <row r="686" customFormat="1" hidden="1"/>
    <row r="687" customFormat="1" hidden="1"/>
    <row r="688" customFormat="1" hidden="1"/>
    <row r="689" customFormat="1" hidden="1"/>
    <row r="690" customFormat="1" hidden="1"/>
    <row r="691" customFormat="1" hidden="1"/>
    <row r="692" customFormat="1" hidden="1"/>
    <row r="693" customFormat="1" hidden="1"/>
    <row r="694" customFormat="1" hidden="1"/>
    <row r="695" customFormat="1" hidden="1"/>
    <row r="696" customFormat="1" hidden="1"/>
    <row r="697" customFormat="1" hidden="1"/>
    <row r="698" customFormat="1" hidden="1"/>
    <row r="699" customFormat="1" hidden="1"/>
    <row r="700" customFormat="1" hidden="1"/>
    <row r="701" customFormat="1" hidden="1"/>
    <row r="702" customFormat="1" hidden="1"/>
    <row r="703" customFormat="1" hidden="1"/>
    <row r="704" customFormat="1" hidden="1"/>
    <row r="705" customFormat="1" hidden="1"/>
    <row r="706" customFormat="1" hidden="1"/>
    <row r="707" customFormat="1" hidden="1"/>
    <row r="708" customFormat="1" hidden="1"/>
    <row r="709" customFormat="1" hidden="1"/>
    <row r="710" customFormat="1" hidden="1"/>
    <row r="711" customFormat="1" hidden="1"/>
    <row r="712" customFormat="1" hidden="1"/>
    <row r="713" customFormat="1" hidden="1"/>
    <row r="714" customFormat="1" hidden="1"/>
    <row r="715" customFormat="1" hidden="1"/>
    <row r="716" customFormat="1" hidden="1"/>
    <row r="717" customFormat="1" hidden="1"/>
    <row r="718" customFormat="1" hidden="1"/>
    <row r="719" customFormat="1" hidden="1"/>
    <row r="720" customFormat="1" hidden="1"/>
    <row r="721" customFormat="1" hidden="1"/>
    <row r="722" customFormat="1" hidden="1"/>
    <row r="723" customFormat="1" hidden="1"/>
    <row r="724" customFormat="1" hidden="1"/>
    <row r="725" customFormat="1" hidden="1"/>
    <row r="726" customFormat="1" hidden="1"/>
    <row r="727" customFormat="1" hidden="1"/>
    <row r="728" customFormat="1" hidden="1"/>
    <row r="729" customFormat="1" hidden="1"/>
    <row r="730" customFormat="1" hidden="1"/>
    <row r="731" customFormat="1" hidden="1"/>
    <row r="732" customFormat="1" hidden="1"/>
    <row r="733" customFormat="1" hidden="1"/>
    <row r="734" customFormat="1" hidden="1"/>
    <row r="735" customFormat="1" hidden="1"/>
    <row r="736" customFormat="1" hidden="1"/>
    <row r="737" customFormat="1" hidden="1"/>
    <row r="738" customFormat="1" hidden="1"/>
    <row r="739" customFormat="1" hidden="1"/>
    <row r="740" customFormat="1" hidden="1"/>
    <row r="741" customFormat="1" hidden="1"/>
    <row r="742" customFormat="1" hidden="1"/>
    <row r="743" customFormat="1" hidden="1"/>
    <row r="744" customFormat="1" hidden="1"/>
    <row r="745" customFormat="1" hidden="1"/>
    <row r="746" customFormat="1" hidden="1"/>
    <row r="747" customFormat="1" hidden="1"/>
    <row r="748" customFormat="1" hidden="1"/>
    <row r="749" customFormat="1" hidden="1"/>
    <row r="750" customFormat="1" hidden="1"/>
    <row r="751" customFormat="1" hidden="1"/>
    <row r="752" customFormat="1" hidden="1"/>
    <row r="753" customFormat="1" hidden="1"/>
    <row r="754" customFormat="1" hidden="1"/>
    <row r="755" customFormat="1" hidden="1"/>
    <row r="756" customFormat="1" hidden="1"/>
    <row r="757" customFormat="1" hidden="1"/>
    <row r="758" customFormat="1" hidden="1"/>
    <row r="759" customFormat="1" hidden="1"/>
    <row r="760" customFormat="1" hidden="1"/>
    <row r="761" customFormat="1" hidden="1"/>
    <row r="762" customFormat="1" hidden="1"/>
    <row r="763" customFormat="1" hidden="1"/>
    <row r="764" customFormat="1" hidden="1"/>
    <row r="765" customFormat="1" hidden="1"/>
    <row r="766" customFormat="1" hidden="1"/>
    <row r="767" customFormat="1" hidden="1"/>
    <row r="768" customFormat="1" hidden="1"/>
    <row r="769" customFormat="1" hidden="1"/>
    <row r="770" customFormat="1" hidden="1"/>
    <row r="771" customFormat="1" hidden="1"/>
    <row r="772" customFormat="1" hidden="1"/>
    <row r="773" customFormat="1" hidden="1"/>
    <row r="774" customFormat="1" hidden="1"/>
    <row r="775" customFormat="1" hidden="1"/>
    <row r="776" customFormat="1" hidden="1"/>
    <row r="777" customFormat="1" hidden="1"/>
    <row r="778" customFormat="1" hidden="1"/>
    <row r="779" customFormat="1" hidden="1"/>
    <row r="780" customFormat="1" hidden="1"/>
    <row r="781" customFormat="1" hidden="1"/>
    <row r="782" customFormat="1" hidden="1"/>
    <row r="783" customFormat="1" hidden="1"/>
    <row r="784" customFormat="1" hidden="1"/>
    <row r="785" customFormat="1" hidden="1"/>
    <row r="786" customFormat="1" hidden="1"/>
    <row r="787" customFormat="1" hidden="1"/>
    <row r="788" customFormat="1" hidden="1"/>
    <row r="789" customFormat="1" hidden="1"/>
    <row r="790" customFormat="1" hidden="1"/>
    <row r="791" customFormat="1" hidden="1"/>
    <row r="792" customFormat="1" hidden="1"/>
    <row r="793" customFormat="1" hidden="1"/>
    <row r="794" customFormat="1" hidden="1"/>
    <row r="795" customFormat="1" hidden="1"/>
    <row r="796" customFormat="1" hidden="1"/>
    <row r="797" customFormat="1" hidden="1"/>
    <row r="798" customFormat="1" hidden="1"/>
    <row r="799" customFormat="1" hidden="1"/>
    <row r="800" customFormat="1" hidden="1"/>
    <row r="801" customFormat="1" hidden="1"/>
    <row r="802" customFormat="1" hidden="1"/>
    <row r="803" customFormat="1" hidden="1"/>
    <row r="804" customFormat="1" hidden="1"/>
    <row r="805" customFormat="1" hidden="1"/>
    <row r="806" customFormat="1" hidden="1"/>
    <row r="807" customFormat="1" hidden="1"/>
    <row r="808" customFormat="1" hidden="1"/>
    <row r="809" customFormat="1" hidden="1"/>
    <row r="810" customFormat="1" hidden="1"/>
    <row r="811" customFormat="1" hidden="1"/>
    <row r="812" customFormat="1" hidden="1"/>
    <row r="813" customFormat="1" hidden="1"/>
    <row r="814" customFormat="1" hidden="1"/>
    <row r="815" customFormat="1" hidden="1"/>
    <row r="816" customFormat="1" hidden="1"/>
    <row r="817" customFormat="1" hidden="1"/>
    <row r="818" customFormat="1" hidden="1"/>
    <row r="819" customFormat="1" hidden="1"/>
    <row r="820" customFormat="1" hidden="1"/>
    <row r="821" customFormat="1" hidden="1"/>
    <row r="822" customFormat="1" hidden="1"/>
    <row r="823" customFormat="1" hidden="1"/>
    <row r="824" customFormat="1" hidden="1"/>
    <row r="825" customFormat="1" hidden="1"/>
    <row r="826" customFormat="1" hidden="1"/>
    <row r="827" customFormat="1" hidden="1"/>
    <row r="828" customFormat="1" hidden="1"/>
    <row r="829" customFormat="1" hidden="1"/>
    <row r="830" customFormat="1" hidden="1"/>
    <row r="831" customFormat="1" hidden="1"/>
    <row r="832" customFormat="1" hidden="1"/>
    <row r="833" customFormat="1" hidden="1"/>
    <row r="834" customFormat="1" hidden="1"/>
    <row r="835" customFormat="1" hidden="1"/>
    <row r="836" customFormat="1" hidden="1"/>
    <row r="837" customFormat="1" hidden="1"/>
    <row r="838" customFormat="1" hidden="1"/>
    <row r="839" customFormat="1" hidden="1"/>
    <row r="840" customFormat="1" hidden="1"/>
    <row r="841" customFormat="1" hidden="1"/>
    <row r="842" customFormat="1" hidden="1"/>
    <row r="843" customFormat="1" hidden="1"/>
    <row r="844" customFormat="1" hidden="1"/>
    <row r="845" customFormat="1" hidden="1"/>
    <row r="846" customFormat="1" hidden="1"/>
    <row r="847" customFormat="1" hidden="1"/>
    <row r="848" customFormat="1" hidden="1"/>
    <row r="849" customFormat="1" hidden="1"/>
    <row r="850" customFormat="1" hidden="1"/>
    <row r="851" customFormat="1" hidden="1"/>
    <row r="852" customFormat="1" hidden="1"/>
    <row r="853" customFormat="1" hidden="1"/>
    <row r="854" customFormat="1" hidden="1"/>
    <row r="855" customFormat="1" hidden="1"/>
    <row r="856" customFormat="1" hidden="1"/>
    <row r="857" customFormat="1" hidden="1"/>
    <row r="858" customFormat="1" hidden="1"/>
    <row r="859" customFormat="1" hidden="1"/>
    <row r="860" customFormat="1" hidden="1"/>
    <row r="861" customFormat="1" hidden="1"/>
    <row r="862" customFormat="1" hidden="1"/>
    <row r="863" customFormat="1" hidden="1"/>
    <row r="864" customFormat="1" hidden="1"/>
    <row r="865" customFormat="1" hidden="1"/>
    <row r="866" customFormat="1" hidden="1"/>
    <row r="867" customFormat="1" hidden="1"/>
    <row r="868" customFormat="1" hidden="1"/>
    <row r="869" customFormat="1" hidden="1"/>
    <row r="870" customFormat="1" hidden="1"/>
    <row r="871" customFormat="1" hidden="1"/>
    <row r="872" customFormat="1" hidden="1"/>
    <row r="873" customFormat="1" hidden="1"/>
    <row r="874" customFormat="1" hidden="1"/>
    <row r="875" customFormat="1" hidden="1"/>
    <row r="876" customFormat="1" hidden="1"/>
    <row r="877" customFormat="1" hidden="1"/>
    <row r="878" customFormat="1" hidden="1"/>
    <row r="879" customFormat="1" hidden="1"/>
    <row r="880" customFormat="1" hidden="1"/>
    <row r="881" customFormat="1" hidden="1"/>
    <row r="882" customFormat="1" hidden="1"/>
    <row r="883" customFormat="1" hidden="1"/>
    <row r="884" customFormat="1" hidden="1"/>
    <row r="885" customFormat="1" hidden="1"/>
    <row r="886" customFormat="1" hidden="1"/>
    <row r="887" customFormat="1" hidden="1"/>
    <row r="888" customFormat="1" hidden="1"/>
    <row r="889" customFormat="1" hidden="1"/>
    <row r="890" customFormat="1" hidden="1"/>
    <row r="891" customFormat="1" hidden="1"/>
    <row r="892" customFormat="1" hidden="1"/>
    <row r="893" customFormat="1" hidden="1"/>
    <row r="894" customFormat="1" hidden="1"/>
    <row r="895" customFormat="1" hidden="1"/>
    <row r="896" customFormat="1" hidden="1"/>
    <row r="897" spans="1:18" hidden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hidden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hidden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hidden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hidden="1">
      <c r="Q901" s="347"/>
      <c r="R901" s="347"/>
    </row>
    <row r="902" spans="1:18" hidden="1">
      <c r="Q902" s="347"/>
      <c r="R902" s="347"/>
    </row>
    <row r="903" spans="1:18" hidden="1">
      <c r="Q903" s="347"/>
      <c r="R903" s="347"/>
    </row>
    <row r="904" spans="1:18" hidden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347"/>
      <c r="R904" s="347"/>
    </row>
    <row r="905" spans="1:18" hidden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347"/>
      <c r="R905" s="347"/>
    </row>
    <row r="906" spans="1:18" hidden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347"/>
      <c r="R906" s="347"/>
    </row>
    <row r="907" spans="1:18" hidden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347"/>
      <c r="R907" s="347"/>
    </row>
    <row r="908" spans="1:18" hidden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347"/>
      <c r="R908" s="347"/>
    </row>
    <row r="909" spans="1:18" hidden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347"/>
      <c r="R909" s="347"/>
    </row>
    <row r="910" spans="1:18" hidden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347"/>
      <c r="R910" s="347"/>
    </row>
    <row r="911" spans="1:18" hidden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347"/>
      <c r="R911" s="347"/>
    </row>
    <row r="912" spans="1:18" hidden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347"/>
      <c r="R912" s="347"/>
    </row>
    <row r="913" spans="1:18" hidden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347"/>
      <c r="R913" s="347"/>
    </row>
    <row r="914" spans="1:18" hidden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347"/>
      <c r="R914" s="347"/>
    </row>
    <row r="915" spans="1:18" hidden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347"/>
      <c r="R915" s="347"/>
    </row>
    <row r="916" spans="1:18" hidden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347"/>
      <c r="R916" s="347"/>
    </row>
    <row r="917" spans="1:18" hidden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347"/>
      <c r="R917" s="347"/>
    </row>
    <row r="918" spans="1:18" hidden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347"/>
      <c r="R918" s="347"/>
    </row>
    <row r="919" spans="1:18" hidden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347"/>
      <c r="R919" s="347"/>
    </row>
    <row r="920" spans="1:18" hidden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347"/>
      <c r="R920" s="347"/>
    </row>
    <row r="921" spans="1:18" hidden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347"/>
      <c r="R921" s="347"/>
    </row>
    <row r="922" spans="1:18" hidden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347"/>
      <c r="R922" s="347"/>
    </row>
    <row r="923" spans="1:18" hidden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347"/>
      <c r="R923" s="347"/>
    </row>
    <row r="924" spans="1:18" hidden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347"/>
      <c r="R924" s="347"/>
    </row>
    <row r="925" spans="1:18" hidden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347"/>
      <c r="R925" s="347"/>
    </row>
    <row r="926" spans="1:18" hidden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347"/>
      <c r="R926" s="347"/>
    </row>
    <row r="927" spans="1:18" hidden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347"/>
      <c r="R927" s="347"/>
    </row>
    <row r="928" spans="1:18" hidden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347"/>
      <c r="R928" s="347"/>
    </row>
    <row r="929" spans="1:18" hidden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347"/>
      <c r="R929" s="347"/>
    </row>
    <row r="930" spans="1:18" hidden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347"/>
      <c r="R930" s="347"/>
    </row>
    <row r="931" spans="1:18" hidden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347"/>
      <c r="R931" s="347"/>
    </row>
    <row r="932" spans="1:18" hidden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347"/>
      <c r="R932" s="347"/>
    </row>
    <row r="933" spans="1:18" hidden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347"/>
      <c r="R933" s="347"/>
    </row>
    <row r="934" spans="1:18" hidden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347"/>
      <c r="R934" s="347"/>
    </row>
    <row r="935" spans="1:18" hidden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347"/>
      <c r="R935" s="347"/>
    </row>
    <row r="936" spans="1:18" hidden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347"/>
      <c r="R936" s="347"/>
    </row>
    <row r="937" spans="1:18" hidden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347"/>
      <c r="R937" s="347"/>
    </row>
    <row r="938" spans="1:18" hidden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347"/>
      <c r="R938" s="347"/>
    </row>
    <row r="939" spans="1:18" hidden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347"/>
      <c r="R939" s="347"/>
    </row>
    <row r="940" spans="1:18" hidden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347"/>
      <c r="R940" s="347"/>
    </row>
    <row r="941" spans="1:18" hidden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347"/>
      <c r="R941" s="347"/>
    </row>
    <row r="942" spans="1:18" hidden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347"/>
      <c r="R942" s="347"/>
    </row>
    <row r="943" spans="1:18" hidden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347"/>
      <c r="R943" s="347"/>
    </row>
    <row r="944" spans="1:18" hidden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347"/>
      <c r="R944" s="347"/>
    </row>
    <row r="945" spans="1:18" hidden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347"/>
      <c r="R945" s="347"/>
    </row>
    <row r="946" spans="1:18" hidden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347"/>
      <c r="R946" s="347"/>
    </row>
    <row r="947" spans="1:18" hidden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347"/>
      <c r="R947" s="347"/>
    </row>
    <row r="948" spans="1:18" hidden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347"/>
      <c r="R948" s="347"/>
    </row>
    <row r="949" spans="1:18" hidden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347"/>
      <c r="R949" s="347"/>
    </row>
    <row r="950" spans="1:18" hidden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347"/>
      <c r="R950" s="347"/>
    </row>
    <row r="951" spans="1:18" hidden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347"/>
      <c r="R951" s="347"/>
    </row>
    <row r="952" spans="1:18" hidden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hidden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hidden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hidden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hidden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hidden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hidden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hidden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hidden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customFormat="1" hidden="1"/>
    <row r="962" customFormat="1" hidden="1"/>
    <row r="963" customFormat="1" hidden="1"/>
    <row r="964" customFormat="1" hidden="1"/>
    <row r="965" customFormat="1" hidden="1"/>
    <row r="966" customFormat="1" hidden="1"/>
    <row r="967" customFormat="1" hidden="1"/>
    <row r="968" customFormat="1" hidden="1"/>
    <row r="969" customFormat="1" hidden="1"/>
    <row r="970" customFormat="1" hidden="1"/>
    <row r="971" customFormat="1" hidden="1"/>
    <row r="972" customFormat="1" hidden="1"/>
    <row r="973" customFormat="1" hidden="1"/>
    <row r="974" customFormat="1" hidden="1"/>
    <row r="975" customFormat="1" hidden="1"/>
    <row r="976" customFormat="1" hidden="1"/>
    <row r="977" customFormat="1" hidden="1"/>
    <row r="978" customFormat="1" hidden="1"/>
    <row r="979" customFormat="1" hidden="1"/>
    <row r="980" customFormat="1" hidden="1"/>
    <row r="981" customFormat="1" hidden="1"/>
    <row r="982" customFormat="1" hidden="1"/>
    <row r="983" customFormat="1" hidden="1"/>
    <row r="984" customFormat="1" hidden="1"/>
    <row r="985" customFormat="1" hidden="1"/>
    <row r="986" customFormat="1" hidden="1"/>
    <row r="987" customFormat="1" hidden="1"/>
    <row r="988" customFormat="1" hidden="1"/>
    <row r="989" customFormat="1" hidden="1"/>
    <row r="990" customFormat="1" hidden="1"/>
    <row r="991" customFormat="1" hidden="1"/>
    <row r="992" customFormat="1" hidden="1"/>
    <row r="993" customFormat="1" hidden="1"/>
    <row r="994" customFormat="1" hidden="1"/>
    <row r="995" customFormat="1" hidden="1"/>
    <row r="996" customFormat="1" hidden="1"/>
    <row r="997" customFormat="1" hidden="1"/>
    <row r="998" customFormat="1" hidden="1"/>
    <row r="999" customFormat="1" hidden="1"/>
    <row r="1000" customFormat="1" hidden="1"/>
    <row r="1001" customFormat="1" hidden="1"/>
    <row r="1002" customFormat="1" hidden="1"/>
    <row r="1003" customFormat="1" hidden="1"/>
    <row r="1004" customFormat="1" hidden="1"/>
    <row r="1005" customFormat="1" hidden="1"/>
    <row r="1006" customFormat="1" hidden="1"/>
    <row r="1007" customFormat="1" hidden="1"/>
    <row r="1008" customFormat="1" hidden="1"/>
    <row r="1009" customFormat="1" hidden="1"/>
    <row r="1010" customFormat="1" hidden="1"/>
    <row r="1011" customFormat="1" hidden="1"/>
    <row r="1012" customFormat="1" hidden="1"/>
    <row r="1013" customFormat="1" hidden="1"/>
    <row r="1014" customFormat="1" hidden="1"/>
    <row r="1015" customFormat="1" hidden="1"/>
    <row r="1016" customFormat="1" hidden="1"/>
    <row r="1017" customFormat="1" hidden="1"/>
    <row r="1018" customFormat="1" hidden="1"/>
    <row r="1019" customFormat="1" hidden="1"/>
    <row r="1020" customFormat="1" hidden="1"/>
    <row r="1021" customFormat="1" hidden="1"/>
    <row r="1022" customFormat="1" hidden="1"/>
    <row r="1023" customFormat="1" hidden="1"/>
    <row r="1024" customFormat="1" hidden="1"/>
    <row r="1025" customFormat="1" hidden="1"/>
    <row r="1026" customFormat="1" hidden="1"/>
    <row r="1027" customFormat="1" hidden="1"/>
    <row r="1028" customFormat="1" hidden="1"/>
    <row r="1029" customFormat="1" hidden="1"/>
    <row r="1030" customFormat="1" hidden="1"/>
    <row r="1031" customFormat="1" hidden="1"/>
    <row r="1032" customFormat="1" hidden="1"/>
    <row r="1033" customFormat="1" hidden="1"/>
    <row r="1034" customFormat="1" hidden="1"/>
    <row r="1035" customFormat="1" hidden="1"/>
    <row r="1036" customFormat="1" hidden="1"/>
    <row r="1037" customFormat="1" hidden="1"/>
    <row r="1038" customFormat="1" hidden="1"/>
    <row r="1039" customFormat="1" hidden="1"/>
    <row r="1040" customFormat="1" hidden="1"/>
    <row r="1041" customFormat="1" hidden="1"/>
    <row r="1042" customFormat="1" hidden="1"/>
    <row r="1043" customFormat="1" hidden="1"/>
    <row r="1044" customFormat="1" hidden="1"/>
    <row r="1045" customFormat="1" hidden="1"/>
    <row r="1046" customFormat="1" hidden="1"/>
    <row r="1047" customFormat="1" hidden="1"/>
    <row r="1048" customFormat="1" hidden="1"/>
    <row r="1049" customFormat="1" hidden="1"/>
    <row r="1050" customFormat="1" hidden="1"/>
    <row r="1051" customFormat="1" hidden="1"/>
    <row r="1052" customFormat="1" hidden="1"/>
    <row r="1053" customFormat="1" hidden="1"/>
    <row r="1054" customFormat="1" hidden="1"/>
    <row r="1055" customFormat="1" hidden="1"/>
    <row r="1056" customFormat="1" hidden="1"/>
    <row r="1057" customFormat="1" hidden="1"/>
    <row r="1058" customFormat="1" hidden="1"/>
    <row r="1059" customFormat="1" hidden="1"/>
    <row r="1060" customFormat="1" hidden="1"/>
    <row r="1061" customFormat="1" hidden="1"/>
    <row r="1062" customFormat="1" hidden="1"/>
    <row r="1063" customFormat="1" hidden="1"/>
    <row r="1064" customFormat="1" hidden="1"/>
    <row r="1065" customFormat="1" hidden="1"/>
    <row r="1066" customFormat="1" hidden="1"/>
    <row r="1067" customFormat="1" hidden="1"/>
    <row r="1068" customFormat="1" hidden="1"/>
    <row r="1069" customFormat="1" hidden="1"/>
    <row r="1070" customFormat="1" hidden="1"/>
    <row r="1071" customFormat="1" hidden="1"/>
    <row r="1072" customFormat="1" hidden="1"/>
    <row r="1073" customFormat="1" hidden="1"/>
    <row r="1074" customFormat="1" hidden="1"/>
    <row r="1075" customFormat="1" hidden="1"/>
    <row r="1076" customFormat="1" hidden="1"/>
    <row r="1077" customFormat="1" hidden="1"/>
    <row r="1078" customFormat="1" hidden="1"/>
    <row r="1079" customFormat="1" hidden="1"/>
    <row r="1080" customFormat="1" hidden="1"/>
    <row r="1081" customFormat="1" hidden="1"/>
    <row r="1082" customFormat="1" hidden="1"/>
    <row r="1083" customFormat="1" hidden="1"/>
    <row r="1084" customFormat="1" hidden="1"/>
    <row r="1085" customFormat="1" hidden="1"/>
    <row r="1086" customFormat="1" hidden="1"/>
    <row r="1087" customFormat="1" hidden="1"/>
    <row r="1088" customFormat="1" hidden="1"/>
    <row r="1089" customFormat="1" hidden="1"/>
    <row r="1090" customFormat="1" hidden="1"/>
    <row r="1091" customFormat="1" hidden="1"/>
    <row r="1092" customFormat="1" hidden="1"/>
    <row r="1093" customFormat="1" hidden="1"/>
    <row r="1094" customFormat="1" hidden="1"/>
    <row r="1095" customFormat="1" hidden="1"/>
    <row r="1096" customFormat="1" hidden="1"/>
    <row r="1097" customFormat="1" hidden="1"/>
    <row r="1098" customFormat="1" hidden="1"/>
    <row r="1099" customFormat="1" hidden="1"/>
    <row r="1100" customFormat="1" hidden="1"/>
    <row r="1101" customFormat="1" hidden="1"/>
    <row r="1102" customFormat="1" hidden="1"/>
    <row r="1103" customFormat="1" hidden="1"/>
    <row r="1104" customFormat="1" hidden="1"/>
    <row r="1105" customFormat="1" hidden="1"/>
    <row r="1106" customFormat="1" hidden="1"/>
    <row r="1107" customFormat="1" hidden="1"/>
    <row r="1108" customFormat="1" hidden="1"/>
    <row r="1109" customFormat="1" hidden="1"/>
    <row r="1110" customFormat="1" hidden="1"/>
    <row r="1111" customFormat="1" hidden="1"/>
    <row r="1112" customFormat="1" hidden="1"/>
    <row r="1113" customFormat="1" hidden="1"/>
    <row r="1114" customFormat="1" hidden="1"/>
    <row r="1115" customFormat="1" hidden="1"/>
    <row r="1116" customFormat="1" hidden="1"/>
    <row r="1117" customFormat="1" hidden="1"/>
    <row r="1118" customFormat="1" hidden="1"/>
    <row r="1119" customFormat="1" hidden="1"/>
    <row r="1120" customFormat="1" hidden="1"/>
    <row r="1121" spans="1:18" hidden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</row>
    <row r="1122" spans="1:18" hidden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</row>
    <row r="1123" spans="1:18" hidden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</row>
    <row r="1124" spans="1:18" hidden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</row>
    <row r="1125" spans="1:18" hidden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</row>
    <row r="1126" spans="1:18" hidden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</row>
    <row r="1127" spans="1:18" ht="14.65" hidden="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</row>
    <row r="1128" spans="1:18" ht="14.65" hidden="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</row>
    <row r="1129" spans="1:18" ht="14.65" hidden="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</row>
    <row r="1130" spans="1:18" ht="14.65" hidden="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</row>
    <row r="1131" spans="1:18" ht="14.65" hidden="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</row>
    <row r="1132" spans="1:18" ht="14.65" hidden="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</row>
    <row r="1133" spans="1:18" ht="14.65" hidden="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</row>
    <row r="1134" spans="1:18" ht="14.65" hidden="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</row>
    <row r="1135" spans="1:18" hidden="1">
      <c r="Q1135" s="347"/>
      <c r="R1135" s="347"/>
    </row>
    <row r="1136" spans="1:18" hidden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 s="347"/>
      <c r="R1136" s="347"/>
    </row>
    <row r="1137" spans="1:18" hidden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 s="347"/>
      <c r="R1137" s="347"/>
    </row>
    <row r="1138" spans="1:18" hidden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 s="347"/>
      <c r="R1138" s="347"/>
    </row>
    <row r="1139" spans="1:18" hidden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 s="347"/>
      <c r="R1139" s="347"/>
    </row>
    <row r="1140" spans="1:18" hidden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 s="347"/>
      <c r="R1140" s="347"/>
    </row>
    <row r="1141" spans="1:18" hidden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 s="347"/>
      <c r="R1141" s="347"/>
    </row>
    <row r="1142" spans="1:18" hidden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 s="347"/>
      <c r="R1142" s="347"/>
    </row>
    <row r="1143" spans="1:18" hidden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 s="347"/>
      <c r="R1143" s="347"/>
    </row>
    <row r="1144" spans="1:18" hidden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 s="347"/>
      <c r="R1144" s="347"/>
    </row>
    <row r="1145" spans="1:18" hidden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 s="347"/>
      <c r="R1145" s="347"/>
    </row>
    <row r="1146" spans="1:18" hidden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 s="347"/>
      <c r="R1146" s="347"/>
    </row>
    <row r="1147" spans="1:18" hidden="1">
      <c r="Q1147" s="347"/>
      <c r="R1147" s="347"/>
    </row>
    <row r="1148" spans="1:18" hidden="1">
      <c r="Q1148" s="347"/>
      <c r="R1148" s="347"/>
    </row>
    <row r="1149" spans="1:18" hidden="1">
      <c r="Q1149" s="347"/>
      <c r="R1149" s="347"/>
    </row>
    <row r="1150" spans="1:18" hidden="1">
      <c r="Q1150" s="347"/>
      <c r="R1150" s="347"/>
    </row>
    <row r="1151" spans="1:18" hidden="1">
      <c r="Q1151" s="347"/>
      <c r="R1151" s="347"/>
    </row>
    <row r="1152" spans="1:18" hidden="1">
      <c r="Q1152" s="347"/>
      <c r="R1152" s="347"/>
    </row>
    <row r="1153" spans="17:18" hidden="1">
      <c r="Q1153" s="347"/>
      <c r="R1153" s="347"/>
    </row>
    <row r="1154" spans="17:18" hidden="1">
      <c r="Q1154" s="347"/>
      <c r="R1154" s="347"/>
    </row>
    <row r="1155" spans="17:18" hidden="1">
      <c r="Q1155" s="347"/>
      <c r="R1155" s="347"/>
    </row>
    <row r="1156" spans="17:18" hidden="1">
      <c r="Q1156" s="347"/>
      <c r="R1156" s="347"/>
    </row>
    <row r="1157" spans="17:18" hidden="1">
      <c r="Q1157" s="347"/>
      <c r="R1157" s="347"/>
    </row>
    <row r="1158" spans="17:18" hidden="1">
      <c r="Q1158" s="347"/>
      <c r="R1158" s="347"/>
    </row>
    <row r="1159" spans="17:18" hidden="1">
      <c r="Q1159" s="347"/>
      <c r="R1159" s="347"/>
    </row>
    <row r="1160" spans="17:18" hidden="1">
      <c r="Q1160" s="347"/>
      <c r="R1160" s="347"/>
    </row>
    <row r="1161" spans="17:18" hidden="1">
      <c r="Q1161" s="347"/>
      <c r="R1161" s="347"/>
    </row>
    <row r="1162" spans="17:18" hidden="1">
      <c r="Q1162" s="347"/>
      <c r="R1162" s="347"/>
    </row>
    <row r="1163" spans="17:18" hidden="1">
      <c r="Q1163" s="347"/>
      <c r="R1163" s="347"/>
    </row>
    <row r="1164" spans="17:18" hidden="1">
      <c r="Q1164" s="347"/>
      <c r="R1164" s="347"/>
    </row>
    <row r="1165" spans="17:18">
      <c r="Q1165" s="347"/>
      <c r="R1165" s="347"/>
    </row>
    <row r="1166" spans="17:18">
      <c r="Q1166" s="347"/>
      <c r="R1166" s="347"/>
    </row>
    <row r="1167" spans="17:18">
      <c r="Q1167" s="347"/>
      <c r="R1167" s="347"/>
    </row>
    <row r="1168" spans="17:18">
      <c r="Q1168" s="347"/>
      <c r="R1168" s="347"/>
    </row>
    <row r="1169"/>
    <row r="1250"/>
    <row r="1251"/>
    <row r="1252"/>
    <row r="1253"/>
    <row r="1254"/>
    <row r="1255"/>
    <row r="1256"/>
    <row r="1257"/>
  </sheetData>
  <conditionalFormatting sqref="J3:R3">
    <cfRule type="cellIs" dxfId="5" priority="11" operator="equal">
      <formula>"Post-Fcst"</formula>
    </cfRule>
    <cfRule type="cellIs" dxfId="4" priority="12" operator="equal">
      <formula>"Forecast"</formula>
    </cfRule>
    <cfRule type="cellIs" dxfId="3" priority="13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67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>
    <tabColor rgb="FF99CCFF"/>
    <pageSetUpPr fitToPage="1"/>
  </sheetPr>
  <dimension ref="A1:R29"/>
  <sheetViews>
    <sheetView showGridLines="0" zoomScale="80" zoomScaleNormal="80" workbookViewId="0">
      <pane xSplit="9" ySplit="5" topLeftCell="J6" activePane="bottomRight" state="frozen"/>
      <selection pane="topRight"/>
      <selection pane="bottomLeft"/>
      <selection pane="bottomRight" activeCell="H9" sqref="H9"/>
    </sheetView>
  </sheetViews>
  <sheetFormatPr defaultColWidth="0" defaultRowHeight="14.5" zeroHeight="1"/>
  <cols>
    <col min="1" max="4" width="1.08984375" customWidth="1"/>
    <col min="5" max="5" width="71.6328125" bestFit="1" customWidth="1"/>
    <col min="6" max="6" width="14.08984375" customWidth="1"/>
    <col min="7" max="7" width="11.08984375" customWidth="1"/>
    <col min="8" max="8" width="12.7265625" bestFit="1" customWidth="1"/>
    <col min="9" max="9" width="1.36328125" customWidth="1"/>
    <col min="10" max="18" width="11.81640625" customWidth="1"/>
    <col min="19" max="16384" width="8.81640625" hidden="1"/>
  </cols>
  <sheetData>
    <row r="1" spans="1:18" ht="25">
      <c r="A1" s="70" t="str">
        <f ca="1" xml:space="preserve"> RIGHT(CELL("filename", A1), LEN(CELL("filename", A1)) - SEARCH("]", CELL("filename", A1)))</f>
        <v>Outputs</v>
      </c>
      <c r="B1" s="71"/>
      <c r="C1" s="72"/>
      <c r="D1" s="71"/>
      <c r="E1" s="73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>
      <c r="A2" s="7"/>
      <c r="B2" s="7"/>
      <c r="C2" s="8"/>
      <c r="D2" s="9"/>
      <c r="E2" s="117" t="str">
        <f xml:space="preserve"> Time!E$2</f>
        <v>Model Period Ending</v>
      </c>
      <c r="I2" s="117">
        <f xml:space="preserve"> Time!I$2</f>
        <v>0</v>
      </c>
      <c r="J2" s="350">
        <f xml:space="preserve"> Time!J$21</f>
        <v>42825</v>
      </c>
      <c r="K2" s="350">
        <f xml:space="preserve"> Time!K$21</f>
        <v>43190</v>
      </c>
      <c r="L2" s="350">
        <f xml:space="preserve"> Time!L$21</f>
        <v>43555</v>
      </c>
      <c r="M2" s="350">
        <f xml:space="preserve"> Time!M$21</f>
        <v>43921</v>
      </c>
      <c r="N2" s="350">
        <f xml:space="preserve"> Time!N$21</f>
        <v>44286</v>
      </c>
      <c r="O2" s="350">
        <f xml:space="preserve"> Time!O$21</f>
        <v>44651</v>
      </c>
      <c r="P2" s="350">
        <f xml:space="preserve"> Time!P$21</f>
        <v>45016</v>
      </c>
      <c r="Q2" s="350">
        <f xml:space="preserve"> Time!Q$21</f>
        <v>45382</v>
      </c>
      <c r="R2" s="350">
        <f xml:space="preserve"> Time!R$21</f>
        <v>45747</v>
      </c>
    </row>
    <row r="3" spans="1:18">
      <c r="A3" s="10"/>
      <c r="B3" s="2"/>
      <c r="C3" s="3"/>
      <c r="D3" s="11"/>
      <c r="E3" s="117" t="str">
        <f xml:space="preserve"> Time!E$3</f>
        <v>Pre Forecast vs Forecast</v>
      </c>
      <c r="I3" s="117">
        <f xml:space="preserve"> Time!I$3</f>
        <v>0</v>
      </c>
      <c r="J3" s="347" t="str">
        <f xml:space="preserve"> Time!J55</f>
        <v>Pre Fcst</v>
      </c>
      <c r="K3" s="347" t="str">
        <f xml:space="preserve"> Time!K55</f>
        <v>Pre Fcst</v>
      </c>
      <c r="L3" s="347" t="str">
        <f xml:space="preserve"> Time!L55</f>
        <v>Pre Fcst</v>
      </c>
      <c r="M3" s="347" t="str">
        <f xml:space="preserve"> Time!M55</f>
        <v>Pre Fcst</v>
      </c>
      <c r="N3" s="347" t="str">
        <f xml:space="preserve"> Time!N55</f>
        <v>Forecast</v>
      </c>
      <c r="O3" s="347" t="str">
        <f xml:space="preserve"> Time!O55</f>
        <v>Forecast</v>
      </c>
      <c r="P3" s="347" t="str">
        <f xml:space="preserve"> Time!P55</f>
        <v>Forecast</v>
      </c>
      <c r="Q3" s="347" t="str">
        <f xml:space="preserve"> Time!Q55</f>
        <v>Forecast</v>
      </c>
      <c r="R3" s="347" t="str">
        <f xml:space="preserve"> Time!R55</f>
        <v>Forecast</v>
      </c>
    </row>
    <row r="4" spans="1:18">
      <c r="A4" s="6"/>
      <c r="B4" s="6"/>
      <c r="C4" s="6"/>
      <c r="D4" s="13"/>
      <c r="E4" s="117" t="str">
        <f xml:space="preserve"> Time!E$4</f>
        <v>Financial Year Ending</v>
      </c>
      <c r="F4" s="131"/>
      <c r="I4" s="117">
        <f xml:space="preserve"> Time!I$4</f>
        <v>0</v>
      </c>
      <c r="J4" s="145">
        <f xml:space="preserve"> Time!J$29</f>
        <v>2017</v>
      </c>
      <c r="K4" s="145">
        <f xml:space="preserve"> Time!K$29</f>
        <v>2018</v>
      </c>
      <c r="L4" s="145">
        <f xml:space="preserve"> Time!L$29</f>
        <v>2019</v>
      </c>
      <c r="M4" s="145">
        <f xml:space="preserve"> Time!M$29</f>
        <v>2020</v>
      </c>
      <c r="N4" s="145">
        <f xml:space="preserve"> Time!N$29</f>
        <v>2021</v>
      </c>
      <c r="O4" s="145">
        <f xml:space="preserve"> Time!O$29</f>
        <v>2022</v>
      </c>
      <c r="P4" s="145">
        <f xml:space="preserve"> Time!P$29</f>
        <v>2023</v>
      </c>
      <c r="Q4" s="145">
        <f xml:space="preserve"> Time!Q$29</f>
        <v>2024</v>
      </c>
      <c r="R4" s="145">
        <f xml:space="preserve"> Time!R$29</f>
        <v>2025</v>
      </c>
    </row>
    <row r="5" spans="1:18">
      <c r="A5" s="14"/>
      <c r="B5" s="14"/>
      <c r="C5" s="6"/>
      <c r="D5" s="13"/>
      <c r="E5" s="117" t="str">
        <f xml:space="preserve"> Time!E$5</f>
        <v>Model column counter</v>
      </c>
      <c r="F5" s="20" t="s">
        <v>96</v>
      </c>
      <c r="G5" s="2" t="s">
        <v>97</v>
      </c>
      <c r="H5" s="20" t="s">
        <v>98</v>
      </c>
      <c r="I5" s="111"/>
      <c r="J5" s="148">
        <f xml:space="preserve"> Time!J$8</f>
        <v>1</v>
      </c>
      <c r="K5" s="148">
        <f xml:space="preserve"> Time!K$8</f>
        <v>2</v>
      </c>
      <c r="L5" s="148">
        <f xml:space="preserve"> Time!L$8</f>
        <v>3</v>
      </c>
      <c r="M5" s="148">
        <f xml:space="preserve"> Time!M$8</f>
        <v>4</v>
      </c>
      <c r="N5" s="148">
        <f xml:space="preserve"> Time!N$8</f>
        <v>5</v>
      </c>
      <c r="O5" s="148">
        <f xml:space="preserve"> Time!O$8</f>
        <v>6</v>
      </c>
      <c r="P5" s="148">
        <f xml:space="preserve"> Time!P$8</f>
        <v>7</v>
      </c>
      <c r="Q5" s="148">
        <f xml:space="preserve"> Time!Q$8</f>
        <v>8</v>
      </c>
      <c r="R5" s="148">
        <f xml:space="preserve"> Time!R$8</f>
        <v>9</v>
      </c>
    </row>
    <row r="6" spans="1:18">
      <c r="A6" s="14"/>
      <c r="B6" s="14"/>
      <c r="C6" s="6"/>
      <c r="D6" s="13"/>
      <c r="E6" s="117"/>
      <c r="F6" s="20"/>
      <c r="G6" s="2"/>
      <c r="H6" s="20"/>
      <c r="I6" s="111"/>
      <c r="J6" s="148"/>
      <c r="K6" s="148"/>
      <c r="L6" s="148"/>
      <c r="M6" s="148"/>
      <c r="N6" s="148"/>
      <c r="O6" s="148"/>
      <c r="P6" s="148"/>
      <c r="Q6" s="148"/>
      <c r="R6" s="148"/>
    </row>
    <row r="7" spans="1:18">
      <c r="A7" s="80" t="s">
        <v>207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18" s="117" customFormat="1" ht="13">
      <c r="A8" s="10"/>
      <c r="B8" s="2"/>
      <c r="C8" s="3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161" customFormat="1" ht="12.5">
      <c r="E9" s="161" t="str">
        <f xml:space="preserve"> Calc!E$95</f>
        <v>Total bioresources revenue adjustment to be applied in PR24</v>
      </c>
      <c r="F9" s="161">
        <f xml:space="preserve"> Calc!F$95</f>
        <v>0</v>
      </c>
      <c r="G9" s="161" t="str">
        <f xml:space="preserve"> Calc!G$95</f>
        <v>£m</v>
      </c>
      <c r="H9" s="343">
        <f xml:space="preserve"> Calc!H$95</f>
        <v>-0.73148180780929939</v>
      </c>
      <c r="I9" s="169">
        <f xml:space="preserve"> Calc!I$95</f>
        <v>0</v>
      </c>
      <c r="J9" s="169">
        <f xml:space="preserve"> Calc!J$95</f>
        <v>0</v>
      </c>
      <c r="K9" s="169">
        <f xml:space="preserve"> Calc!K$95</f>
        <v>0</v>
      </c>
      <c r="L9" s="169">
        <f xml:space="preserve"> Calc!L$95</f>
        <v>0</v>
      </c>
      <c r="M9" s="169">
        <f xml:space="preserve"> Calc!M$95</f>
        <v>0</v>
      </c>
      <c r="N9" s="169">
        <f xml:space="preserve"> Calc!N$95</f>
        <v>0</v>
      </c>
      <c r="O9" s="169">
        <f xml:space="preserve"> Calc!O$95</f>
        <v>0</v>
      </c>
      <c r="P9" s="169">
        <f xml:space="preserve"> Calc!P$95</f>
        <v>0</v>
      </c>
      <c r="Q9" s="169">
        <f xml:space="preserve"> Calc!Q$95</f>
        <v>0</v>
      </c>
      <c r="R9" s="169">
        <f xml:space="preserve"> Calc!R$95</f>
        <v>-0.73148180780929939</v>
      </c>
    </row>
    <row r="10" spans="1:18" s="161" customFormat="1" ht="12.5"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</row>
    <row r="11" spans="1:18" s="161" customFormat="1" ht="12.5">
      <c r="E11" s="169" t="str">
        <f xml:space="preserve"> Calc!E$125</f>
        <v>Bioresources forecasting accuracy incentive penalty - 2017-18 FYA (CPIH deflated)</v>
      </c>
      <c r="F11" s="169">
        <f xml:space="preserve"> Calc!F$125</f>
        <v>0</v>
      </c>
      <c r="G11" s="169" t="str">
        <f xml:space="preserve"> Calc!G$125</f>
        <v>£m</v>
      </c>
      <c r="H11" s="169">
        <f xml:space="preserve"> Calc!H$125</f>
        <v>0</v>
      </c>
      <c r="I11" s="169">
        <f xml:space="preserve"> Calc!I$125</f>
        <v>0</v>
      </c>
      <c r="J11" s="169">
        <f xml:space="preserve"> Calc!J$125</f>
        <v>0</v>
      </c>
      <c r="K11" s="169">
        <f xml:space="preserve"> Calc!K$125</f>
        <v>0</v>
      </c>
      <c r="L11" s="169">
        <f xml:space="preserve"> Calc!L$125</f>
        <v>0</v>
      </c>
      <c r="M11" s="169">
        <f xml:space="preserve"> Calc!M$125</f>
        <v>0</v>
      </c>
      <c r="N11" s="169">
        <f xml:space="preserve"> Calc!N$125</f>
        <v>0</v>
      </c>
      <c r="O11" s="169">
        <f xml:space="preserve"> Calc!O$125</f>
        <v>0</v>
      </c>
      <c r="P11" s="169">
        <f xml:space="preserve"> Calc!P$125</f>
        <v>0</v>
      </c>
      <c r="Q11" s="169">
        <f xml:space="preserve"> Calc!Q$125</f>
        <v>0</v>
      </c>
      <c r="R11" s="169">
        <f xml:space="preserve"> Calc!R$125</f>
        <v>0</v>
      </c>
    </row>
    <row r="12" spans="1:18" s="117" customFormat="1" ht="12.5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136" customFormat="1" ht="13">
      <c r="A13" s="127" t="s">
        <v>208</v>
      </c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</row>
    <row r="14" spans="1:18" s="117" customFormat="1" ht="12.5"/>
    <row r="15" spans="1:18" s="117" customFormat="1" ht="12.5" hidden="1"/>
    <row r="16" spans="1:18" s="117" customFormat="1" ht="12.5" hidden="1"/>
    <row r="17" s="117" customFormat="1" ht="12.5" hidden="1"/>
    <row r="18" s="117" customFormat="1" ht="12.5" hidden="1"/>
    <row r="19" s="117" customFormat="1" ht="12.5" hidden="1"/>
    <row r="20" s="117" customFormat="1" ht="12.5" hidden="1"/>
    <row r="21" s="117" customFormat="1" ht="12.5" hidden="1"/>
    <row r="22" s="117" customFormat="1" ht="12.5" hidden="1"/>
    <row r="23" s="117" customFormat="1" ht="12.5" hidden="1"/>
    <row r="24" s="117" customFormat="1" ht="12.5" hidden="1"/>
    <row r="25" s="117" customFormat="1" ht="12.5" hidden="1"/>
    <row r="26" s="117" customFormat="1" ht="12.5" hidden="1"/>
    <row r="27" s="117" customFormat="1" ht="12.5" hidden="1"/>
    <row r="28" s="117" customFormat="1" ht="12.5" hidden="1"/>
    <row r="29" s="117" customFormat="1" ht="12.5" hidden="1"/>
  </sheetData>
  <conditionalFormatting sqref="J3:R3">
    <cfRule type="cellIs" dxfId="2" priority="1" operator="equal">
      <formula>"Post-Fcst"</formula>
    </cfRule>
    <cfRule type="cellIs" dxfId="1" priority="2" operator="equal">
      <formula>"Forecast"</formula>
    </cfRule>
    <cfRule type="cellIs" dxfId="0" priority="3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67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45729E174D4A4786D047E3AA459AE6" ma:contentTypeVersion="15" ma:contentTypeDescription="Create a new document." ma:contentTypeScope="" ma:versionID="cc77653cb9af846d28a29faf24ef32ce">
  <xsd:schema xmlns:xsd="http://www.w3.org/2001/XMLSchema" xmlns:xs="http://www.w3.org/2001/XMLSchema" xmlns:p="http://schemas.microsoft.com/office/2006/metadata/properties" xmlns:ns2="fad29565-56de-4760-a31e-ef063b1ca510" xmlns:ns3="1cd42318-77a4-4205-8fcf-c5408423388f" targetNamespace="http://schemas.microsoft.com/office/2006/metadata/properties" ma:root="true" ma:fieldsID="3c30d42f9068f7459833bcbd1da26265" ns2:_="" ns3:_="">
    <xsd:import namespace="fad29565-56de-4760-a31e-ef063b1ca510"/>
    <xsd:import namespace="1cd42318-77a4-4205-8fcf-c540842338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aterlead" minOccurs="0"/>
                <xsd:element ref="ns2:Wastewaterlead" minOccurs="0"/>
                <xsd:element ref="ns2:Regulationlead" minOccurs="0"/>
                <xsd:element ref="ns2:Water_x002f_waste_x002f_both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d29565-56de-4760-a31e-ef063b1ca5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aterlead" ma:index="12" nillable="true" ma:displayName="Water lead" ma:format="Dropdown" ma:list="UserInfo" ma:SharePointGroup="0" ma:internalName="Water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astewaterlead" ma:index="13" nillable="true" ma:displayName="Wastewater lead" ma:format="Dropdown" ma:list="UserInfo" ma:SharePointGroup="0" ma:internalName="Wastewater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ionlead" ma:index="14" nillable="true" ma:displayName="Regulation lead" ma:format="Dropdown" ma:list="UserInfo" ma:SharePointGroup="0" ma:internalName="Regulationlea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ater_x002f_waste_x002f_both" ma:index="15" nillable="true" ma:displayName="Water/waste/both" ma:format="Dropdown" ma:internalName="Water_x002f_waste_x002f_both">
      <xsd:simpleType>
        <xsd:restriction base="dms:Choice">
          <xsd:enumeration value="Water"/>
          <xsd:enumeration value="Wastewater"/>
          <xsd:enumeration value="Both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bffd374-f6e7-466c-9533-0f5f1a899a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42318-77a4-4205-8fcf-c5408423388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7e16c9f-1e8b-4d4a-b646-ca785afcbf9b}" ma:internalName="TaxCatchAll" ma:showField="CatchAllData" ma:web="1cd42318-77a4-4205-8fcf-c540842338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d29565-56de-4760-a31e-ef063b1ca510">
      <Terms xmlns="http://schemas.microsoft.com/office/infopath/2007/PartnerControls"/>
    </lcf76f155ced4ddcb4097134ff3c332f>
    <TaxCatchAll xmlns="1cd42318-77a4-4205-8fcf-c5408423388f" xsi:nil="true"/>
    <Regulationlead xmlns="fad29565-56de-4760-a31e-ef063b1ca510">
      <UserInfo>
        <DisplayName/>
        <AccountId xsi:nil="true"/>
        <AccountType/>
      </UserInfo>
    </Regulationlead>
    <Wastewaterlead xmlns="fad29565-56de-4760-a31e-ef063b1ca510">
      <UserInfo>
        <DisplayName/>
        <AccountId xsi:nil="true"/>
        <AccountType/>
      </UserInfo>
    </Wastewaterlead>
    <Water_x002f_waste_x002f_both xmlns="fad29565-56de-4760-a31e-ef063b1ca510" xsi:nil="true"/>
    <Waterlead xmlns="fad29565-56de-4760-a31e-ef063b1ca510">
      <UserInfo>
        <DisplayName/>
        <AccountId xsi:nil="true"/>
        <AccountType/>
      </UserInfo>
    </Waterlead>
  </documentManagement>
</p:properties>
</file>

<file path=customXml/itemProps1.xml><?xml version="1.0" encoding="utf-8"?>
<ds:datastoreItem xmlns:ds="http://schemas.openxmlformats.org/officeDocument/2006/customXml" ds:itemID="{E7CDF28C-FE7E-4F71-A8F8-FDA9D6E2E6FE}"/>
</file>

<file path=customXml/itemProps2.xml><?xml version="1.0" encoding="utf-8"?>
<ds:datastoreItem xmlns:ds="http://schemas.openxmlformats.org/officeDocument/2006/customXml" ds:itemID="{054235FE-CF43-44BE-95B5-FC1A60AE8D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E865F4-F9DB-4AC1-8589-1E6947522C08}">
  <ds:schemaRefs>
    <ds:schemaRef ds:uri="http://schemas.microsoft.com/office/2006/metadata/properties"/>
    <ds:schemaRef ds:uri="http://schemas.microsoft.com/office/infopath/2007/PartnerControls"/>
    <ds:schemaRef ds:uri="307abaa3-da97-4002-88b1-9d2d708ebea3"/>
    <ds:schemaRef ds:uri="71c95305-930c-4d63-9794-2d64434305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</vt:lpstr>
      <vt:lpstr>Model formatting</vt:lpstr>
      <vt:lpstr>ToC</vt:lpstr>
      <vt:lpstr>InputsR</vt:lpstr>
      <vt:lpstr>InputsC</vt:lpstr>
      <vt:lpstr>Time</vt:lpstr>
      <vt:lpstr>Index</vt:lpstr>
      <vt:lpstr>Calc</vt:lpstr>
      <vt:lpstr>Outputs</vt:lpstr>
      <vt:lpstr>F_Outputs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2024-06-19T15:20:21Z</dcterms:created>
  <dcterms:modified xsi:type="dcterms:W3CDTF">2024-08-09T08:13:46Z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746300</vt:r8>
  </property>
  <property fmtid="{D5CDD505-2E9C-101B-9397-08002B2CF9AE}" pid="3" name="j014a7bd3fd34d828fc493e84f684b49">
    <vt:lpwstr/>
  </property>
  <property fmtid="{D5CDD505-2E9C-101B-9397-08002B2CF9AE}" pid="4" name="Meeting">
    <vt:lpwstr/>
  </property>
  <property fmtid="{D5CDD505-2E9C-101B-9397-08002B2CF9AE}" pid="5" name="b2faa34e97554b63aaaf45270201a270">
    <vt:lpwstr/>
  </property>
  <property fmtid="{D5CDD505-2E9C-101B-9397-08002B2CF9AE}" pid="6" name="Folder Audit History">
    <vt:lpwstr/>
  </property>
  <property fmtid="{D5CDD505-2E9C-101B-9397-08002B2CF9AE}" pid="7" name="xd_ProgID">
    <vt:lpwstr/>
  </property>
  <property fmtid="{D5CDD505-2E9C-101B-9397-08002B2CF9AE}" pid="8" name="MediaServiceImageTags">
    <vt:lpwstr/>
  </property>
  <property fmtid="{D5CDD505-2E9C-101B-9397-08002B2CF9AE}" pid="9" name="Stakeholder 2">
    <vt:lpwstr/>
  </property>
  <property fmtid="{D5CDD505-2E9C-101B-9397-08002B2CF9AE}" pid="10" name="ContentTypeId">
    <vt:lpwstr>0x0101001045729E174D4A4786D047E3AA459AE6</vt:lpwstr>
  </property>
  <property fmtid="{D5CDD505-2E9C-101B-9397-08002B2CF9AE}" pid="11" name="Hierarchy">
    <vt:lpwstr/>
  </property>
  <property fmtid="{D5CDD505-2E9C-101B-9397-08002B2CF9AE}" pid="12" name="Collection">
    <vt:lpwstr/>
  </property>
  <property fmtid="{D5CDD505-2E9C-101B-9397-08002B2CF9AE}" pid="13" name="TemplateUrl">
    <vt:lpwstr/>
  </property>
  <property fmtid="{D5CDD505-2E9C-101B-9397-08002B2CF9AE}" pid="14" name="m279c8e365374608a4eb2bb657f838c2">
    <vt:lpwstr/>
  </property>
  <property fmtid="{D5CDD505-2E9C-101B-9397-08002B2CF9AE}" pid="15" name="Asset">
    <vt:lpwstr/>
  </property>
  <property fmtid="{D5CDD505-2E9C-101B-9397-08002B2CF9AE}" pid="16" name="Project Code">
    <vt:lpwstr>1896;#Company performance monitoring ＆ engagement|3cbb2248-aeb0-4f5e-8833-d72f52afb8f0</vt:lpwstr>
  </property>
  <property fmtid="{D5CDD505-2E9C-101B-9397-08002B2CF9AE}" pid="17" name="j7c77f2a1a924badb0d621542422dc19">
    <vt:lpwstr/>
  </property>
  <property fmtid="{D5CDD505-2E9C-101B-9397-08002B2CF9AE}" pid="18" name="Stakeholder 3">
    <vt:lpwstr/>
  </property>
  <property fmtid="{D5CDD505-2E9C-101B-9397-08002B2CF9AE}" pid="19" name="_CopySource">
    <vt:lpwstr/>
  </property>
  <property fmtid="{D5CDD505-2E9C-101B-9397-08002B2CF9AE}" pid="20" name="oe9d4f963f4c420b8d2b35d038476850">
    <vt:lpwstr>Company performance monitoring ＆ engagement|3cbb2248-aeb0-4f5e-8833-d72f52afb8f0</vt:lpwstr>
  </property>
  <property fmtid="{D5CDD505-2E9C-101B-9397-08002B2CF9AE}" pid="21" name="Original Role Assignments">
    <vt:lpwstr/>
  </property>
  <property fmtid="{D5CDD505-2E9C-101B-9397-08002B2CF9AE}" pid="22" name="Stakeholder">
    <vt:lpwstr>25;#Water and wastewater companies (WaSCs)|1f450446-47d1-4fe9-8d64-c249a3be1897</vt:lpwstr>
  </property>
  <property fmtid="{D5CDD505-2E9C-101B-9397-08002B2CF9AE}" pid="23" name="Inheritance Broken by Folder Closure">
    <vt:lpwstr/>
  </property>
  <property fmtid="{D5CDD505-2E9C-101B-9397-08002B2CF9AE}" pid="24" name="Security Classification">
    <vt:lpwstr>21;#OFFICIAL|c2540f30-f875-494b-a43f-ebfb5017a6ad</vt:lpwstr>
  </property>
  <property fmtid="{D5CDD505-2E9C-101B-9397-08002B2CF9AE}" pid="25" name="b128efbe498d4e38a73555a2e7be12ea">
    <vt:lpwstr/>
  </property>
  <property fmtid="{D5CDD505-2E9C-101B-9397-08002B2CF9AE}" pid="26" name="Stakeholder 4">
    <vt:lpwstr/>
  </property>
  <property fmtid="{D5CDD505-2E9C-101B-9397-08002B2CF9AE}" pid="27" name="f8aa492165544285b4c7fe9d1b6ad82c">
    <vt:lpwstr/>
  </property>
  <property fmtid="{D5CDD505-2E9C-101B-9397-08002B2CF9AE}" pid="28" name="Folder Status">
    <vt:lpwstr/>
  </property>
  <property fmtid="{D5CDD505-2E9C-101B-9397-08002B2CF9AE}" pid="29" name="Stakeholder 5">
    <vt:lpwstr/>
  </property>
</Properties>
</file>